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Training programs\environment\climate scenario\case studies\case study day 2\"/>
    </mc:Choice>
  </mc:AlternateContent>
  <xr:revisionPtr revIDLastSave="0" documentId="13_ncr:1_{899B034B-803E-4826-AFDB-0D51D00F40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ashboard Summary" sheetId="1" r:id="rId1"/>
    <sheet name="Portfolio Setup" sheetId="2" r:id="rId2"/>
    <sheet name="reference" sheetId="6" r:id="rId3"/>
    <sheet name="Grid" sheetId="7" r:id="rId4"/>
    <sheet name="Transition Risk Quantification" sheetId="3" r:id="rId5"/>
    <sheet name="Physical Risk Quantification" sheetId="4" r:id="rId6"/>
    <sheet name="Strategic Response &amp; Mitigation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" l="1"/>
  <c r="L7" i="2"/>
  <c r="L8" i="2"/>
  <c r="L9" i="2"/>
  <c r="C6" i="3"/>
  <c r="J6" i="2"/>
  <c r="J7" i="2"/>
  <c r="J8" i="2"/>
  <c r="J9" i="2"/>
  <c r="J5" i="2"/>
  <c r="M11" i="5"/>
  <c r="I11" i="5"/>
  <c r="E11" i="5"/>
  <c r="C11" i="5"/>
  <c r="L10" i="4"/>
  <c r="K10" i="4"/>
  <c r="H10" i="4"/>
  <c r="G10" i="4"/>
  <c r="D10" i="4"/>
  <c r="C10" i="4"/>
  <c r="B10" i="4"/>
  <c r="L9" i="4"/>
  <c r="K9" i="4"/>
  <c r="H9" i="4"/>
  <c r="G9" i="4"/>
  <c r="D9" i="4"/>
  <c r="C9" i="4"/>
  <c r="B9" i="4"/>
  <c r="L8" i="4"/>
  <c r="K8" i="4"/>
  <c r="H8" i="4"/>
  <c r="G8" i="4"/>
  <c r="D8" i="4"/>
  <c r="C8" i="4"/>
  <c r="B8" i="4"/>
  <c r="L7" i="4"/>
  <c r="K7" i="4"/>
  <c r="H7" i="4"/>
  <c r="G7" i="4"/>
  <c r="D7" i="4"/>
  <c r="C7" i="4"/>
  <c r="B7" i="4"/>
  <c r="L6" i="4"/>
  <c r="K6" i="4"/>
  <c r="H6" i="4"/>
  <c r="G6" i="4"/>
  <c r="D6" i="4"/>
  <c r="C6" i="4"/>
  <c r="B6" i="4"/>
  <c r="M11" i="3"/>
  <c r="L11" i="3"/>
  <c r="K11" i="3"/>
  <c r="N10" i="3"/>
  <c r="I10" i="3"/>
  <c r="H10" i="3"/>
  <c r="G10" i="3"/>
  <c r="E10" i="3"/>
  <c r="D10" i="3"/>
  <c r="C10" i="3"/>
  <c r="B10" i="3"/>
  <c r="N9" i="3"/>
  <c r="I9" i="3"/>
  <c r="H9" i="3"/>
  <c r="G9" i="3"/>
  <c r="E9" i="3"/>
  <c r="D9" i="3"/>
  <c r="C9" i="3"/>
  <c r="B9" i="3"/>
  <c r="N8" i="3"/>
  <c r="I8" i="3"/>
  <c r="H8" i="3"/>
  <c r="G8" i="3"/>
  <c r="E8" i="3"/>
  <c r="D8" i="3"/>
  <c r="C8" i="3"/>
  <c r="B8" i="3"/>
  <c r="N7" i="3"/>
  <c r="I7" i="3"/>
  <c r="H7" i="3"/>
  <c r="G7" i="3"/>
  <c r="E7" i="3"/>
  <c r="D7" i="3"/>
  <c r="C7" i="3"/>
  <c r="B7" i="3"/>
  <c r="N6" i="3"/>
  <c r="I6" i="3"/>
  <c r="H6" i="3"/>
  <c r="G6" i="3"/>
  <c r="E6" i="3"/>
  <c r="D6" i="3"/>
  <c r="B6" i="3"/>
  <c r="H11" i="2"/>
  <c r="G11" i="2"/>
  <c r="F11" i="2"/>
  <c r="E11" i="2"/>
  <c r="D11" i="2"/>
  <c r="C11" i="2"/>
  <c r="I7" i="4" l="1"/>
  <c r="L5" i="2"/>
  <c r="L11" i="4"/>
  <c r="D10" i="1" s="1"/>
  <c r="N10" i="4"/>
  <c r="L10" i="5" s="1"/>
  <c r="M9" i="4"/>
  <c r="M8" i="4"/>
  <c r="I8" i="4"/>
  <c r="E8" i="4"/>
  <c r="K11" i="4"/>
  <c r="D9" i="1" s="1"/>
  <c r="H11" i="4"/>
  <c r="C10" i="1" s="1"/>
  <c r="G11" i="4"/>
  <c r="C9" i="1" s="1"/>
  <c r="D11" i="4"/>
  <c r="B10" i="1" s="1"/>
  <c r="C11" i="4"/>
  <c r="B9" i="1" s="1"/>
  <c r="M10" i="4"/>
  <c r="I10" i="4"/>
  <c r="E10" i="4"/>
  <c r="F8" i="3"/>
  <c r="J7" i="3"/>
  <c r="J6" i="3"/>
  <c r="I9" i="4"/>
  <c r="E9" i="4"/>
  <c r="E11" i="3"/>
  <c r="B8" i="1" s="1"/>
  <c r="F9" i="3"/>
  <c r="F7" i="3"/>
  <c r="E7" i="4"/>
  <c r="N11" i="3"/>
  <c r="D7" i="1" s="1"/>
  <c r="I11" i="3"/>
  <c r="C8" i="1" s="1"/>
  <c r="H11" i="3"/>
  <c r="G11" i="3"/>
  <c r="J9" i="3"/>
  <c r="J8" i="3"/>
  <c r="F6" i="3"/>
  <c r="D11" i="3"/>
  <c r="C11" i="3"/>
  <c r="J10" i="3"/>
  <c r="F10" i="3"/>
  <c r="D8" i="1"/>
  <c r="D6" i="1"/>
  <c r="C6" i="1"/>
  <c r="B6" i="1"/>
  <c r="D5" i="1"/>
  <c r="C5" i="1"/>
  <c r="B5" i="1"/>
  <c r="M7" i="4"/>
  <c r="M6" i="4"/>
  <c r="I6" i="4"/>
  <c r="E6" i="4"/>
  <c r="J7" i="4" l="1"/>
  <c r="M11" i="4"/>
  <c r="D11" i="1" s="1"/>
  <c r="I11" i="4"/>
  <c r="C11" i="1" s="1"/>
  <c r="E11" i="4"/>
  <c r="B11" i="1" s="1"/>
  <c r="N10" i="5"/>
  <c r="O10" i="5"/>
  <c r="J11" i="3"/>
  <c r="C7" i="1" s="1"/>
  <c r="F11" i="3"/>
  <c r="B7" i="1" s="1"/>
  <c r="B12" i="1" s="1"/>
  <c r="B13" i="1" s="1"/>
  <c r="N7" i="4"/>
  <c r="L7" i="5" s="1"/>
  <c r="N9" i="4"/>
  <c r="L9" i="5" s="1"/>
  <c r="N8" i="4"/>
  <c r="L8" i="5" s="1"/>
  <c r="J6" i="4"/>
  <c r="J8" i="4"/>
  <c r="H8" i="5" s="1"/>
  <c r="F8" i="4"/>
  <c r="D8" i="5" s="1"/>
  <c r="J10" i="4"/>
  <c r="H10" i="5" s="1"/>
  <c r="J10" i="5" s="1"/>
  <c r="F10" i="4"/>
  <c r="D10" i="5" s="1"/>
  <c r="H7" i="5"/>
  <c r="F7" i="4"/>
  <c r="D7" i="5" s="1"/>
  <c r="J9" i="4"/>
  <c r="H9" i="5" s="1"/>
  <c r="F9" i="4"/>
  <c r="D9" i="5" s="1"/>
  <c r="F6" i="4"/>
  <c r="N6" i="4"/>
  <c r="C12" i="1" l="1"/>
  <c r="C13" i="1" s="1"/>
  <c r="F11" i="4"/>
  <c r="F10" i="5"/>
  <c r="D12" i="1"/>
  <c r="D13" i="1" s="1"/>
  <c r="N7" i="5"/>
  <c r="N9" i="5"/>
  <c r="O9" i="5"/>
  <c r="N8" i="5"/>
  <c r="J8" i="5"/>
  <c r="F8" i="5"/>
  <c r="J7" i="5"/>
  <c r="F7" i="5"/>
  <c r="J9" i="5"/>
  <c r="F9" i="5"/>
  <c r="L6" i="5"/>
  <c r="N11" i="4"/>
  <c r="H6" i="5"/>
  <c r="D6" i="5"/>
  <c r="J11" i="4"/>
  <c r="K10" i="5"/>
  <c r="K9" i="5" l="1"/>
  <c r="G10" i="5"/>
  <c r="L11" i="5"/>
  <c r="O6" i="5"/>
  <c r="O11" i="5" s="1"/>
  <c r="D14" i="1" s="1"/>
  <c r="N6" i="5"/>
  <c r="N11" i="5" s="1"/>
  <c r="H11" i="5"/>
  <c r="J6" i="5"/>
  <c r="J11" i="5" s="1"/>
  <c r="D11" i="5"/>
  <c r="F6" i="5"/>
  <c r="O7" i="5"/>
  <c r="G8" i="5"/>
  <c r="K7" i="5"/>
  <c r="G9" i="5"/>
  <c r="O8" i="5"/>
  <c r="K8" i="5"/>
  <c r="G7" i="5"/>
  <c r="F11" i="5" l="1"/>
  <c r="G6" i="5"/>
  <c r="G11" i="5" s="1"/>
  <c r="B14" i="1" s="1"/>
  <c r="K6" i="5"/>
  <c r="K11" i="5" s="1"/>
  <c r="C14" i="1" s="1"/>
</calcChain>
</file>

<file path=xl/sharedStrings.xml><?xml version="1.0" encoding="utf-8"?>
<sst xmlns="http://schemas.openxmlformats.org/spreadsheetml/2006/main" count="217" uniqueCount="134">
  <si>
    <t>Climate Stress Test Model - Executive Dashboard</t>
  </si>
  <si>
    <t>NGFS Phase V (Nov 2024) Alignment Framework — Portfolio Scenario Assessment</t>
  </si>
  <si>
    <t>Financial Metric (USD millions)</t>
  </si>
  <si>
    <t>Orderly (Net Zero 2050)</t>
  </si>
  <si>
    <t>Disorderly (Delayed Transition)</t>
  </si>
  <si>
    <t>Hot House World (Current Policies)</t>
  </si>
  <si>
    <t>Total Portfolio Revenue Baseline</t>
  </si>
  <si>
    <t>Total Portfolio Valuation (Net Book Value)</t>
  </si>
  <si>
    <t>Transition Carbon Tax &amp; Policy Liabilities</t>
  </si>
  <si>
    <t>Stranded Asset Obsolescence Write-downs</t>
  </si>
  <si>
    <t>Acute Physical Climate Shocks &amp; Asset Damage</t>
  </si>
  <si>
    <t>Chronic Heat &amp; Operational Productivity Losses</t>
  </si>
  <si>
    <t>Unhedged Insurance Pricing Loop Gap Losses</t>
  </si>
  <si>
    <t>Total Value at Risk (VaR) under Scenario</t>
  </si>
  <si>
    <t>Portfolio Value Impact (% of Book Value)</t>
  </si>
  <si>
    <t>Post-Mitigation Residual Risk Exposure</t>
  </si>
  <si>
    <t>Baseline Asset Portfolio Specification</t>
  </si>
  <si>
    <t>Core asset physical locations, book valuation, and baseline parameters.</t>
  </si>
  <si>
    <t>Asset ID</t>
  </si>
  <si>
    <t>Asset Name</t>
  </si>
  <si>
    <t>Net Book Value ($M)</t>
  </si>
  <si>
    <t>Annual Revenue ($M)</t>
  </si>
  <si>
    <t>Geographic Hazard Zone</t>
  </si>
  <si>
    <t>Baseline Intensity (tCO2e/$M)</t>
  </si>
  <si>
    <t>Insurable Value ($M)</t>
  </si>
  <si>
    <t>Premium ($M)</t>
  </si>
  <si>
    <t>AST-001</t>
  </si>
  <si>
    <t>Gas-Fired Thermal Power Plant</t>
  </si>
  <si>
    <t>Riverine Floodplain</t>
  </si>
  <si>
    <t>AST-002</t>
  </si>
  <si>
    <t>Coastal Logistics Hub</t>
  </si>
  <si>
    <t>Coastal Surge Zone</t>
  </si>
  <si>
    <t>AST-003</t>
  </si>
  <si>
    <t>Heavy Metallurgy Foundry</t>
  </si>
  <si>
    <t>Water Scarcity Zone</t>
  </si>
  <si>
    <t>AST-004</t>
  </si>
  <si>
    <t>Agricultural Depot</t>
  </si>
  <si>
    <t>Drought Risk Corridor</t>
  </si>
  <si>
    <t>AST-005</t>
  </si>
  <si>
    <t>Data Center Complex</t>
  </si>
  <si>
    <t>Urban Heat Island</t>
  </si>
  <si>
    <t>Total Summary</t>
  </si>
  <si>
    <t>Transition Risk Quantitative Stress Test</t>
  </si>
  <si>
    <t>Asset Type</t>
  </si>
  <si>
    <t>Orderly Scenario (Net Zero 2050)</t>
  </si>
  <si>
    <t>Disorderly Scenario (Delayed Transition)</t>
  </si>
  <si>
    <t>Hot House World Scenario</t>
  </si>
  <si>
    <t>Carbon Tax ($M)</t>
  </si>
  <si>
    <t>Demand Hit ($M)</t>
  </si>
  <si>
    <t>Strand Deval ($M)</t>
  </si>
  <si>
    <t>Total Risk ($M)</t>
  </si>
  <si>
    <t>0.0</t>
  </si>
  <si>
    <t>Total</t>
  </si>
  <si>
    <t>Physical Risk Quantitative Stress Test</t>
  </si>
  <si>
    <t>Orderly Baseline Scenario</t>
  </si>
  <si>
    <t>Disorderly Delayed Scenario</t>
  </si>
  <si>
    <t>Hot House World Scenario (Extreme Dam.)</t>
  </si>
  <si>
    <t>Acute ($M)</t>
  </si>
  <si>
    <t>Chronic ($M)</t>
  </si>
  <si>
    <t>Ins. Gap ($M)</t>
  </si>
  <si>
    <t>Total ($M)</t>
  </si>
  <si>
    <t>Strategic Resilience Allocation &amp; Residual Risk Model</t>
  </si>
  <si>
    <t>Proposed Strategic Response Interventions</t>
  </si>
  <si>
    <t>Assigned CapEx ($M)</t>
  </si>
  <si>
    <t>Orderly Scenario Profile</t>
  </si>
  <si>
    <t>Disorderly Scenario Profile</t>
  </si>
  <si>
    <t>Hot House World Profile</t>
  </si>
  <si>
    <t>Gross VaR</t>
  </si>
  <si>
    <t>Mitigation Efficiency</t>
  </si>
  <si>
    <t>Residual VaR</t>
  </si>
  <si>
    <t>Net Saving</t>
  </si>
  <si>
    <t>Transition Pivot: Low-carbon operational retrofit &amp; optimization curves</t>
  </si>
  <si>
    <t>Infrastructure Hardening: Sea walls elevation &amp; composite defense lines</t>
  </si>
  <si>
    <t>Resource Optimization: Circular wastewater loops &amp; heat shielding elements</t>
  </si>
  <si>
    <t>Supply Chain Diversification: Inter-region procurement &amp; redundancy structures</t>
  </si>
  <si>
    <t>Operational Shielding: Heat-resistant composite infrastructure cooling</t>
  </si>
  <si>
    <t>Absolute Physical Emissions</t>
  </si>
  <si>
    <t>Metric tons</t>
  </si>
  <si>
    <t>NGFS Carbon price</t>
  </si>
  <si>
    <t>Financial scale</t>
  </si>
  <si>
    <t>Scenario / Pathway</t>
  </si>
  <si>
    <t>Core Source</t>
  </si>
  <si>
    <t>Transition Variable: Carbon Price ($/tCO₂e)</t>
  </si>
  <si>
    <t>Transition Variable: Sector Market Drop (%)</t>
  </si>
  <si>
    <t>Physical Variable: Extreme Shock Weight (Δ)</t>
  </si>
  <si>
    <t>Physical Variable: Chronic Output Degradation (%)</t>
  </si>
  <si>
    <t xml:space="preserve">NGFS / IEA </t>
  </si>
  <si>
    <t>1.0x</t>
  </si>
  <si>
    <t>Disorderly (Delayed)</t>
  </si>
  <si>
    <t>Hot House World</t>
  </si>
  <si>
    <t xml:space="preserve">NGFS / IPCC </t>
  </si>
  <si>
    <t>3.5x</t>
  </si>
  <si>
    <t>Step 1: Establish the Centralized "Scenario Parameters" Input Grid</t>
  </si>
  <si>
    <t>Step 2: Extract and Input NGFS / IEA Transition Data</t>
  </si>
  <si>
    <t>High macroeconomic spillovers via reduced labor capacity.</t>
  </si>
  <si>
    <t>Extreme Temperature Shocks</t>
  </si>
  <si>
    <t>Immediate credit rating downgrades for Agricultural &amp; Food sectors.</t>
  </si>
  <si>
    <t>Crop Yield &amp; Drought Shocks</t>
  </si>
  <si>
    <t>Long-term operational constraints; utility cost spikes.</t>
  </si>
  <si>
    <t>Chronic Water Stress</t>
  </si>
  <si>
    <r>
      <t xml:space="preserve">Severe supply chain and port blockages in </t>
    </r>
    <r>
      <rPr>
        <sz val="11"/>
        <color rgb="FF1F1F1F"/>
        <rFont val="Google Sans Text"/>
        <family val="2"/>
      </rPr>
      <t>DIRE</t>
    </r>
    <r>
      <rPr>
        <sz val="11"/>
        <color rgb="FF1F1F1F"/>
        <rFont val="Arial"/>
        <family val="2"/>
      </rPr>
      <t xml:space="preserve"> or </t>
    </r>
    <r>
      <rPr>
        <sz val="11"/>
        <color rgb="FF1F1F1F"/>
        <rFont val="Google Sans Text"/>
        <family val="2"/>
      </rPr>
      <t>DAPS</t>
    </r>
    <r>
      <rPr>
        <sz val="11"/>
        <color rgb="FF1F1F1F"/>
        <rFont val="Arial"/>
        <family val="2"/>
      </rPr>
      <t>.</t>
    </r>
  </si>
  <si>
    <t>Coastal Flood / Cyclone Risk</t>
  </si>
  <si>
    <t>High physical damage to infrastructure during DAPS "Wet" years.</t>
  </si>
  <si>
    <t>Fluvial Flood Risk</t>
  </si>
  <si>
    <t>Primary Scenario Impact</t>
  </si>
  <si>
    <t>Time Horizon</t>
  </si>
  <si>
    <t>Region</t>
  </si>
  <si>
    <t>Hazard/ Physincal Risk</t>
  </si>
  <si>
    <t>Risks related scenarios (Short Term) mapping with NGFS Short Term Scenarios</t>
  </si>
  <si>
    <t>2030-2050</t>
  </si>
  <si>
    <t>Target Column in Your Excel Template</t>
  </si>
  <si>
    <t>NGFS Source File</t>
  </si>
  <si>
    <t>NGFS Row Variable Filter (Variable Column)</t>
  </si>
  <si>
    <t>How to Calculate &amp; Input the Number</t>
  </si>
  <si>
    <r>
      <t>Transition Risk:</t>
    </r>
    <r>
      <rPr>
        <sz val="11"/>
        <color rgb="FF1F1F1F"/>
        <rFont val="Arial"/>
        <family val="2"/>
      </rPr>
      <t xml:space="preserve"> Carbon Tax Liability</t>
    </r>
  </si>
  <si>
    <t>GEME3_IIASA</t>
  </si>
  <si>
    <r>
      <t>Transition Risk:</t>
    </r>
    <r>
      <rPr>
        <sz val="11"/>
        <color rgb="FF1F1F1F"/>
        <rFont val="Arial"/>
        <family val="2"/>
      </rPr>
      <t xml:space="preserve"> Sector Market Drop (%)</t>
    </r>
  </si>
  <si>
    <r>
      <t>[Your Target Sector]</t>
    </r>
    <r>
      <rPr>
        <sz val="11"/>
        <color rgb="FF1F1F1F"/>
        <rFont val="Google Sans Text"/>
        <family val="2"/>
      </rPr>
      <t>(e.g.,</t>
    </r>
    <r>
      <rPr>
        <sz val="11"/>
        <color rgb="FF1F1F1F"/>
        <rFont val="Arial"/>
        <family val="2"/>
      </rPr>
      <t>Production</t>
    </r>
  </si>
  <si>
    <r>
      <t>Physical Risk:</t>
    </r>
    <r>
      <rPr>
        <sz val="11"/>
        <color rgb="FF1F1F1F"/>
        <rFont val="Arial"/>
        <family val="2"/>
      </rPr>
      <t xml:space="preserve"> Acute Asset Destruction</t>
    </r>
  </si>
  <si>
    <r>
      <t>direct_impacts_daps</t>
    </r>
    <r>
      <rPr>
        <sz val="11"/>
        <color rgb="FF1F1F1F"/>
        <rFont val="Arial"/>
        <family val="2"/>
      </rPr>
      <t xml:space="preserve"> or </t>
    </r>
    <r>
      <rPr>
        <sz val="11"/>
        <color rgb="FF1F1F1F"/>
        <rFont val="Google Sans Text"/>
        <family val="2"/>
      </rPr>
      <t>direct_impacts_dire</t>
    </r>
  </si>
  <si>
    <r>
      <t>capital_destruction|coastal_flood|[Sector]</t>
    </r>
    <r>
      <rPr>
        <sz val="11"/>
        <color rgb="FF1F1F1F"/>
        <rFont val="Arial"/>
        <family val="2"/>
      </rPr>
      <t xml:space="preserve"> (or </t>
    </r>
    <r>
      <rPr>
        <sz val="11"/>
        <color rgb="FF1F1F1F"/>
        <rFont val="Google Sans Text"/>
        <family val="2"/>
      </rPr>
      <t>riverine_flood</t>
    </r>
    <r>
      <rPr>
        <sz val="11"/>
        <color rgb="FF1F1F1F"/>
        <rFont val="Arial"/>
        <family val="2"/>
      </rPr>
      <t>)</t>
    </r>
  </si>
  <si>
    <r>
      <t xml:space="preserve">Copy the raw percentage value listed in the target year column (e.g., 2030 or 2050) under the </t>
    </r>
    <r>
      <rPr>
        <sz val="11"/>
        <color rgb="FF1F1F1F"/>
        <rFont val="Google Sans Text"/>
        <family val="2"/>
      </rPr>
      <t>HWTP</t>
    </r>
    <r>
      <rPr>
        <sz val="11"/>
        <color rgb="FF1F1F1F"/>
        <rFont val="Arial"/>
        <family val="2"/>
      </rPr>
      <t xml:space="preserve"> or </t>
    </r>
    <r>
      <rPr>
        <sz val="11"/>
        <color rgb="FF1F1F1F"/>
        <rFont val="Google Sans Text"/>
        <family val="2"/>
      </rPr>
      <t>DAPS</t>
    </r>
    <r>
      <rPr>
        <sz val="11"/>
        <color rgb="FF1F1F1F"/>
        <rFont val="Arial"/>
        <family val="2"/>
      </rPr>
      <t xml:space="preserve"> scenario. Multiply this directly against your asset's Net Book Value.</t>
    </r>
  </si>
  <si>
    <r>
      <t>Physical Risk:</t>
    </r>
    <r>
      <rPr>
        <sz val="11"/>
        <color rgb="FF1F1F1F"/>
        <rFont val="Arial"/>
        <family val="2"/>
      </rPr>
      <t xml:space="preserve"> Chronic Productivity Loss</t>
    </r>
  </si>
  <si>
    <r>
      <t>Production|Agriculture</t>
    </r>
    <r>
      <rPr>
        <sz val="11"/>
        <color rgb="FF1F1F1F"/>
        <rFont val="Arial"/>
        <family val="2"/>
      </rPr>
      <t xml:space="preserve"> (or relevant manufacturing indices)</t>
    </r>
  </si>
  <si>
    <r>
      <t xml:space="preserve">Extract the multi-decade output drop from the updated </t>
    </r>
    <r>
      <rPr>
        <b/>
        <sz val="11"/>
        <color rgb="FF1F1F1F"/>
        <rFont val="Arial"/>
        <family val="2"/>
      </rPr>
      <t>NGFS Phase V damage functions</t>
    </r>
    <r>
      <rPr>
        <sz val="11"/>
        <color rgb="FF1F1F1F"/>
        <rFont val="Arial"/>
        <family val="2"/>
      </rPr>
      <t xml:space="preserve">. Input the delta (e.g., </t>
    </r>
    <r>
      <rPr>
        <b/>
        <sz val="11"/>
        <color rgb="FF1F1F1F"/>
        <rFont val="Arial"/>
        <family val="2"/>
      </rPr>
      <t>24.0%</t>
    </r>
    <r>
      <rPr>
        <sz val="11"/>
        <color rgb="FF1F1F1F"/>
        <rFont val="Arial"/>
        <family val="2"/>
      </rPr>
      <t xml:space="preserve"> for extreme Hot House stress) into your chronic operational calculators.</t>
    </r>
  </si>
  <si>
    <r>
      <t>Risk Management:</t>
    </r>
    <r>
      <rPr>
        <sz val="11"/>
        <color rgb="FF1F1F1F"/>
        <rFont val="Arial"/>
        <family val="2"/>
      </rPr>
      <t xml:space="preserve"> Central ERM Integration</t>
    </r>
  </si>
  <si>
    <t>CLIMACRED_IIASA</t>
  </si>
  <si>
    <t>baseline_pd|[Your Asset Sector]</t>
  </si>
  <si>
    <t>Track the delta between the baseline Probability of Default (PD) and the scenario-stressed PD to calibrate your corporate risk severity score.</t>
  </si>
  <si>
    <t>Price</t>
  </si>
  <si>
    <t>Production</t>
  </si>
  <si>
    <t>Carbon (or Sector energy cost proxies)</t>
  </si>
  <si>
    <t>Step 1: Establish the Centralized "Scenario Parameters" Input Grid - Short Term</t>
  </si>
  <si>
    <t>4x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</si>
</sst>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\$#,##0.0"/>
    <numFmt numFmtId="165" formatCode="0.0%"/>
    <numFmt numFmtId="166" formatCode="_(* #,##0_);_(* \(#,##0\);_(* &quot;-&quot;??_);_(@_)"/>
  </numFmts>
  <fonts count="13">
    <font>
      <sz val="11"/>
      <color theme="1"/>
      <name val="Calibri"/>
      <family val="2"/>
      <scheme val="minor"/>
    </font>
    <font>
      <b/>
      <sz val="16"/>
      <color rgb="FF1E3F20"/>
      <name val="Calibri"/>
      <family val="2"/>
    </font>
    <font>
      <i/>
      <sz val="9"/>
      <color rgb="FF555555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1F1F1F"/>
      <name val="Arial"/>
      <family val="2"/>
    </font>
    <font>
      <b/>
      <sz val="11"/>
      <color rgb="FF1F1F1F"/>
      <name val="Arial"/>
      <family val="2"/>
    </font>
    <font>
      <sz val="11"/>
      <color rgb="FF1F1F1F"/>
      <name val="Google Sans Text"/>
      <family val="2"/>
    </font>
    <font>
      <b/>
      <sz val="11"/>
      <color rgb="FFFF0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1E3F20"/>
        <bgColor rgb="FF1E3F20"/>
      </patternFill>
    </fill>
    <fill>
      <patternFill patternType="solid">
        <fgColor rgb="FFD5F5E3"/>
        <bgColor rgb="FFD5F5E3"/>
      </patternFill>
    </fill>
    <fill>
      <patternFill patternType="solid">
        <fgColor rgb="FFFDEBD0"/>
        <bgColor rgb="FFFDEBD0"/>
      </patternFill>
    </fill>
    <fill>
      <patternFill patternType="solid">
        <fgColor rgb="FFFADBD8"/>
        <bgColor rgb="FFFADBD8"/>
      </patternFill>
    </fill>
    <fill>
      <patternFill patternType="solid">
        <fgColor rgb="FFF4F7F6"/>
        <bgColor rgb="FFF4F7F6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double">
        <color rgb="FF1E3F20"/>
      </bottom>
      <diagonal/>
    </border>
    <border>
      <left style="medium">
        <color rgb="FFC4C7C5"/>
      </left>
      <right style="medium">
        <color rgb="FFC4C7C5"/>
      </right>
      <top style="medium">
        <color rgb="FFC4C7C5"/>
      </top>
      <bottom style="medium">
        <color rgb="FFC4C7C5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4" fontId="0" fillId="3" borderId="2" xfId="0" applyNumberFormat="1" applyFill="1" applyBorder="1" applyAlignment="1">
      <alignment horizontal="right" vertical="center"/>
    </xf>
    <xf numFmtId="164" fontId="0" fillId="4" borderId="2" xfId="0" applyNumberFormat="1" applyFill="1" applyBorder="1" applyAlignment="1">
      <alignment horizontal="right" vertical="center"/>
    </xf>
    <xf numFmtId="164" fontId="0" fillId="5" borderId="2" xfId="0" applyNumberForma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164" fontId="5" fillId="6" borderId="1" xfId="0" applyNumberFormat="1" applyFont="1" applyFill="1" applyBorder="1" applyAlignment="1">
      <alignment horizontal="right" vertical="center"/>
    </xf>
    <xf numFmtId="3" fontId="5" fillId="6" borderId="1" xfId="0" applyNumberFormat="1" applyFont="1" applyFill="1" applyBorder="1" applyAlignment="1">
      <alignment horizontal="right" vertical="center"/>
    </xf>
    <xf numFmtId="0" fontId="4" fillId="0" borderId="2" xfId="0" applyFont="1" applyBorder="1"/>
    <xf numFmtId="0" fontId="0" fillId="0" borderId="2" xfId="0" applyBorder="1"/>
    <xf numFmtId="164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164" fontId="0" fillId="6" borderId="1" xfId="0" applyNumberFormat="1" applyFill="1" applyBorder="1" applyAlignment="1">
      <alignment horizontal="right" vertical="center"/>
    </xf>
    <xf numFmtId="164" fontId="4" fillId="6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165" fontId="0" fillId="6" borderId="1" xfId="0" applyNumberFormat="1" applyFill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166" fontId="0" fillId="0" borderId="0" xfId="1" applyNumberFormat="1" applyFont="1"/>
    <xf numFmtId="166" fontId="0" fillId="0" borderId="0" xfId="0" applyNumberFormat="1"/>
    <xf numFmtId="0" fontId="7" fillId="0" borderId="0" xfId="0" applyFont="1"/>
    <xf numFmtId="9" fontId="0" fillId="0" borderId="0" xfId="0" applyNumberFormat="1"/>
    <xf numFmtId="0" fontId="10" fillId="0" borderId="3" xfId="0" applyFont="1" applyBorder="1" applyAlignment="1">
      <alignment horizontal="left" vertical="center" wrapText="1" indent="1" readingOrder="1"/>
    </xf>
    <xf numFmtId="0" fontId="9" fillId="0" borderId="3" xfId="0" applyFont="1" applyBorder="1" applyAlignment="1">
      <alignment horizontal="left" vertical="center" wrapText="1" indent="1" readingOrder="1"/>
    </xf>
    <xf numFmtId="6" fontId="11" fillId="0" borderId="3" xfId="0" applyNumberFormat="1" applyFont="1" applyBorder="1" applyAlignment="1">
      <alignment horizontal="left" vertical="center" wrapText="1" indent="1" readingOrder="1"/>
    </xf>
    <xf numFmtId="9" fontId="11" fillId="0" borderId="3" xfId="0" applyNumberFormat="1" applyFont="1" applyBorder="1" applyAlignment="1">
      <alignment horizontal="left" vertical="center" wrapText="1" indent="1" readingOrder="1"/>
    </xf>
    <xf numFmtId="0" fontId="11" fillId="0" borderId="3" xfId="0" applyFont="1" applyBorder="1" applyAlignment="1">
      <alignment horizontal="left" vertical="center" wrapText="1" indent="1" readingOrder="1"/>
    </xf>
    <xf numFmtId="10" fontId="11" fillId="0" borderId="3" xfId="0" applyNumberFormat="1" applyFont="1" applyBorder="1" applyAlignment="1">
      <alignment horizontal="left" vertical="center" wrapText="1" indent="1" readingOrder="1"/>
    </xf>
    <xf numFmtId="0" fontId="3" fillId="2" borderId="1" xfId="0" applyFont="1" applyFill="1" applyBorder="1"/>
    <xf numFmtId="6" fontId="0" fillId="0" borderId="0" xfId="0" applyNumberFormat="1"/>
    <xf numFmtId="0" fontId="12" fillId="0" borderId="0" xfId="0" applyFont="1"/>
    <xf numFmtId="0" fontId="10" fillId="0" borderId="3" xfId="0" applyFont="1" applyFill="1" applyBorder="1" applyAlignment="1">
      <alignment horizontal="left" vertical="center" wrapText="1" indent="1" readingOrder="1"/>
    </xf>
    <xf numFmtId="9" fontId="11" fillId="0" borderId="3" xfId="0" applyNumberFormat="1" applyFont="1" applyFill="1" applyBorder="1" applyAlignment="1">
      <alignment horizontal="left" vertical="center" wrapText="1" indent="1" readingOrder="1"/>
    </xf>
    <xf numFmtId="0" fontId="11" fillId="0" borderId="3" xfId="0" applyFont="1" applyFill="1" applyBorder="1" applyAlignment="1">
      <alignment horizontal="left" vertical="center" wrapText="1" indent="1" readingOrder="1"/>
    </xf>
    <xf numFmtId="0" fontId="9" fillId="0" borderId="3" xfId="0" applyFont="1" applyFill="1" applyBorder="1" applyAlignment="1">
      <alignment horizontal="left" vertical="center" wrapText="1" indent="1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Value at Risk (VaR) Drivers Across Climate Scenarios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'Dashboard Summary'!$B$4</c:f>
              <c:strCache>
                <c:ptCount val="1"/>
                <c:pt idx="0">
                  <c:v>Orderly (Net Zero 2050)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'Dashboard Summary'!$A$7:$A$11</c:f>
              <c:strCache>
                <c:ptCount val="5"/>
                <c:pt idx="0">
                  <c:v>Transition Carbon Tax &amp; Policy Liabilities</c:v>
                </c:pt>
                <c:pt idx="1">
                  <c:v>Stranded Asset Obsolescence Write-downs</c:v>
                </c:pt>
                <c:pt idx="2">
                  <c:v>Acute Physical Climate Shocks &amp; Asset Damage</c:v>
                </c:pt>
                <c:pt idx="3">
                  <c:v>Chronic Heat &amp; Operational Productivity Losses</c:v>
                </c:pt>
                <c:pt idx="4">
                  <c:v>Unhedged Insurance Pricing Loop Gap Losses</c:v>
                </c:pt>
              </c:strCache>
            </c:strRef>
          </c:cat>
          <c:val>
            <c:numRef>
              <c:f>'Dashboard Summary'!$B$5:$B$11</c:f>
              <c:numCache>
                <c:formatCode>\$#,##0.0</c:formatCode>
                <c:ptCount val="7"/>
                <c:pt idx="0">
                  <c:v>620</c:v>
                </c:pt>
                <c:pt idx="1">
                  <c:v>1710</c:v>
                </c:pt>
                <c:pt idx="2">
                  <c:v>197.139375</c:v>
                </c:pt>
                <c:pt idx="3">
                  <c:v>135</c:v>
                </c:pt>
                <c:pt idx="4">
                  <c:v>24.200000000000003</c:v>
                </c:pt>
                <c:pt idx="5">
                  <c:v>12.65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F-49FE-A3E7-1C0A545BE059}"/>
            </c:ext>
          </c:extLst>
        </c:ser>
        <c:ser>
          <c:idx val="1"/>
          <c:order val="1"/>
          <c:tx>
            <c:strRef>
              <c:f>'Dashboard Summary'!$C$4</c:f>
              <c:strCache>
                <c:ptCount val="1"/>
                <c:pt idx="0">
                  <c:v>Disorderly (Delayed Transition)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'Dashboard Summary'!$A$7:$A$11</c:f>
              <c:strCache>
                <c:ptCount val="5"/>
                <c:pt idx="0">
                  <c:v>Transition Carbon Tax &amp; Policy Liabilities</c:v>
                </c:pt>
                <c:pt idx="1">
                  <c:v>Stranded Asset Obsolescence Write-downs</c:v>
                </c:pt>
                <c:pt idx="2">
                  <c:v>Acute Physical Climate Shocks &amp; Asset Damage</c:v>
                </c:pt>
                <c:pt idx="3">
                  <c:v>Chronic Heat &amp; Operational Productivity Losses</c:v>
                </c:pt>
                <c:pt idx="4">
                  <c:v>Unhedged Insurance Pricing Loop Gap Losses</c:v>
                </c:pt>
              </c:strCache>
            </c:strRef>
          </c:cat>
          <c:val>
            <c:numRef>
              <c:f>'Dashboard Summary'!$C$5:$C$11</c:f>
              <c:numCache>
                <c:formatCode>\$#,##0.0</c:formatCode>
                <c:ptCount val="7"/>
                <c:pt idx="0">
                  <c:v>620</c:v>
                </c:pt>
                <c:pt idx="1">
                  <c:v>1710</c:v>
                </c:pt>
                <c:pt idx="2">
                  <c:v>574.8984375</c:v>
                </c:pt>
                <c:pt idx="3">
                  <c:v>446.5</c:v>
                </c:pt>
                <c:pt idx="4">
                  <c:v>80.200000000000017</c:v>
                </c:pt>
                <c:pt idx="5">
                  <c:v>38.625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8F-49FE-A3E7-1C0A545BE059}"/>
            </c:ext>
          </c:extLst>
        </c:ser>
        <c:ser>
          <c:idx val="2"/>
          <c:order val="2"/>
          <c:tx>
            <c:strRef>
              <c:f>'Dashboard Summary'!$D$4</c:f>
              <c:strCache>
                <c:ptCount val="1"/>
                <c:pt idx="0">
                  <c:v>Hot House World (Current Policies)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'Dashboard Summary'!$A$7:$A$11</c:f>
              <c:strCache>
                <c:ptCount val="5"/>
                <c:pt idx="0">
                  <c:v>Transition Carbon Tax &amp; Policy Liabilities</c:v>
                </c:pt>
                <c:pt idx="1">
                  <c:v>Stranded Asset Obsolescence Write-downs</c:v>
                </c:pt>
                <c:pt idx="2">
                  <c:v>Acute Physical Climate Shocks &amp; Asset Damage</c:v>
                </c:pt>
                <c:pt idx="3">
                  <c:v>Chronic Heat &amp; Operational Productivity Losses</c:v>
                </c:pt>
                <c:pt idx="4">
                  <c:v>Unhedged Insurance Pricing Loop Gap Losses</c:v>
                </c:pt>
              </c:strCache>
            </c:strRef>
          </c:cat>
          <c:val>
            <c:numRef>
              <c:f>'Dashboard Summary'!$D$5:$D$11</c:f>
              <c:numCache>
                <c:formatCode>\$#,##0.0</c:formatCode>
                <c:ptCount val="7"/>
                <c:pt idx="0">
                  <c:v>620</c:v>
                </c:pt>
                <c:pt idx="1">
                  <c:v>1710</c:v>
                </c:pt>
                <c:pt idx="2">
                  <c:v>0</c:v>
                </c:pt>
                <c:pt idx="3">
                  <c:v>0</c:v>
                </c:pt>
                <c:pt idx="4">
                  <c:v>356.5</c:v>
                </c:pt>
                <c:pt idx="5">
                  <c:v>160.1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8F-49FE-A3E7-1C0A545BE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Risk Drivers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USD Millions</a:t>
                </a:r>
              </a:p>
            </c:rich>
          </c:tx>
          <c:overlay val="0"/>
        </c:title>
        <c:numFmt formatCode="\$#,##0.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190499</xdr:rowOff>
    </xdr:from>
    <xdr:ext cx="8943974" cy="53149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/>
  </sheetViews>
  <sheetFormatPr defaultRowHeight="15"/>
  <cols>
    <col min="1" max="1" width="78" customWidth="1"/>
    <col min="2" max="4" width="41" customWidth="1"/>
  </cols>
  <sheetData>
    <row r="1" spans="1:4" ht="21">
      <c r="A1" s="1" t="s">
        <v>0</v>
      </c>
    </row>
    <row r="2" spans="1:4">
      <c r="A2" s="2" t="s">
        <v>1</v>
      </c>
    </row>
    <row r="4" spans="1:4">
      <c r="A4" s="3" t="s">
        <v>2</v>
      </c>
      <c r="B4" s="4" t="s">
        <v>3</v>
      </c>
      <c r="C4" s="4" t="s">
        <v>4</v>
      </c>
      <c r="D4" s="4" t="s">
        <v>5</v>
      </c>
    </row>
    <row r="5" spans="1:4">
      <c r="A5" s="5" t="s">
        <v>6</v>
      </c>
      <c r="B5" s="6">
        <f>'Portfolio Setup'!D11</f>
        <v>620</v>
      </c>
      <c r="C5" s="6">
        <f>'Portfolio Setup'!D11</f>
        <v>620</v>
      </c>
      <c r="D5" s="6">
        <f>'Portfolio Setup'!D11</f>
        <v>620</v>
      </c>
    </row>
    <row r="6" spans="1:4">
      <c r="A6" s="5" t="s">
        <v>7</v>
      </c>
      <c r="B6" s="6">
        <f>'Portfolio Setup'!C11</f>
        <v>1710</v>
      </c>
      <c r="C6" s="6">
        <f>'Portfolio Setup'!C11</f>
        <v>1710</v>
      </c>
      <c r="D6" s="6">
        <f>'Portfolio Setup'!C11</f>
        <v>1710</v>
      </c>
    </row>
    <row r="7" spans="1:4">
      <c r="A7" s="7" t="s">
        <v>8</v>
      </c>
      <c r="B7" s="6">
        <f>'Transition Risk Quantification'!F11</f>
        <v>197.139375</v>
      </c>
      <c r="C7" s="6">
        <f>'Transition Risk Quantification'!J11</f>
        <v>574.8984375</v>
      </c>
      <c r="D7" s="6">
        <f>'Transition Risk Quantification'!N11</f>
        <v>0</v>
      </c>
    </row>
    <row r="8" spans="1:4">
      <c r="A8" s="7" t="s">
        <v>9</v>
      </c>
      <c r="B8" s="6">
        <f>'Transition Risk Quantification'!E11</f>
        <v>135</v>
      </c>
      <c r="C8" s="6">
        <f>'Transition Risk Quantification'!I11</f>
        <v>446.5</v>
      </c>
      <c r="D8" s="6">
        <f>'Transition Risk Quantification'!M11</f>
        <v>0</v>
      </c>
    </row>
    <row r="9" spans="1:4">
      <c r="A9" s="7" t="s">
        <v>10</v>
      </c>
      <c r="B9" s="6">
        <f>'Physical Risk Quantification'!C11</f>
        <v>24.200000000000003</v>
      </c>
      <c r="C9" s="6">
        <f>'Physical Risk Quantification'!G11</f>
        <v>80.200000000000017</v>
      </c>
      <c r="D9" s="6">
        <f>'Physical Risk Quantification'!K11</f>
        <v>356.5</v>
      </c>
    </row>
    <row r="10" spans="1:4">
      <c r="A10" s="7" t="s">
        <v>11</v>
      </c>
      <c r="B10" s="6">
        <f>'Physical Risk Quantification'!D11</f>
        <v>12.65</v>
      </c>
      <c r="C10" s="6">
        <f>'Physical Risk Quantification'!H11</f>
        <v>38.625</v>
      </c>
      <c r="D10" s="6">
        <f>'Physical Risk Quantification'!L11</f>
        <v>160.1</v>
      </c>
    </row>
    <row r="11" spans="1:4">
      <c r="A11" s="7" t="s">
        <v>12</v>
      </c>
      <c r="B11" s="6">
        <f>'Physical Risk Quantification'!E11</f>
        <v>4</v>
      </c>
      <c r="C11" s="6">
        <f>'Physical Risk Quantification'!I11</f>
        <v>0</v>
      </c>
      <c r="D11" s="6">
        <f>'Physical Risk Quantification'!M11</f>
        <v>0</v>
      </c>
    </row>
    <row r="12" spans="1:4">
      <c r="A12" s="8" t="s">
        <v>13</v>
      </c>
      <c r="B12" s="9">
        <f>SUM(B7:B11)</f>
        <v>372.98937499999994</v>
      </c>
      <c r="C12" s="10">
        <f>SUM(C7:C11)</f>
        <v>1140.2234375</v>
      </c>
      <c r="D12" s="11">
        <f>SUM(D7:D11)</f>
        <v>516.6</v>
      </c>
    </row>
    <row r="13" spans="1:4">
      <c r="A13" s="5" t="s">
        <v>14</v>
      </c>
      <c r="B13" s="12">
        <f>B12/B6</f>
        <v>0.21812244152046781</v>
      </c>
      <c r="C13" s="12">
        <f>C12/C6</f>
        <v>0.66679733187134504</v>
      </c>
      <c r="D13" s="12">
        <f>D12/D6</f>
        <v>0.30210526315789477</v>
      </c>
    </row>
    <row r="14" spans="1:4">
      <c r="A14" s="7" t="s">
        <v>15</v>
      </c>
      <c r="B14" s="6">
        <f>'Strategic Response &amp; Mitigation'!G11</f>
        <v>64.82436125000001</v>
      </c>
      <c r="C14" s="6">
        <f>'Strategic Response &amp; Mitigation'!K11</f>
        <v>369.13028125</v>
      </c>
      <c r="D14" s="6">
        <f>'Strategic Response &amp; Mitigation'!O11</f>
        <v>53.259999999999991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"/>
  <sheetViews>
    <sheetView workbookViewId="0">
      <pane xSplit="2" ySplit="4" topLeftCell="I5" activePane="bottomRight" state="frozen"/>
      <selection pane="topRight" activeCell="C1" sqref="C1"/>
      <selection pane="bottomLeft" activeCell="A5" sqref="A5"/>
      <selection pane="bottomRight" activeCell="J5" sqref="J5:J9"/>
    </sheetView>
  </sheetViews>
  <sheetFormatPr defaultRowHeight="15"/>
  <cols>
    <col min="1" max="1" width="74" customWidth="1"/>
    <col min="2" max="2" width="32" customWidth="1"/>
    <col min="3" max="4" width="22" customWidth="1"/>
    <col min="5" max="5" width="25" customWidth="1"/>
    <col min="6" max="6" width="32" customWidth="1"/>
    <col min="7" max="7" width="23" customWidth="1"/>
    <col min="8" max="8" width="15" customWidth="1"/>
    <col min="10" max="10" width="26.28515625" bestFit="1" customWidth="1"/>
    <col min="11" max="11" width="17.7109375" bestFit="1" customWidth="1"/>
    <col min="12" max="12" width="13.85546875" bestFit="1" customWidth="1"/>
  </cols>
  <sheetData>
    <row r="1" spans="1:13" ht="21">
      <c r="A1" s="1" t="s">
        <v>16</v>
      </c>
    </row>
    <row r="2" spans="1:13">
      <c r="A2" s="2" t="s">
        <v>17</v>
      </c>
    </row>
    <row r="3" spans="1:13">
      <c r="J3" t="s">
        <v>77</v>
      </c>
    </row>
    <row r="4" spans="1:13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J4" s="35" t="s">
        <v>76</v>
      </c>
      <c r="K4" s="35" t="s">
        <v>78</v>
      </c>
      <c r="L4" s="35" t="s">
        <v>79</v>
      </c>
    </row>
    <row r="5" spans="1:13">
      <c r="A5" s="13" t="s">
        <v>26</v>
      </c>
      <c r="B5" s="7" t="s">
        <v>27</v>
      </c>
      <c r="C5" s="14">
        <v>450</v>
      </c>
      <c r="D5" s="14">
        <v>120</v>
      </c>
      <c r="E5" s="13" t="s">
        <v>28</v>
      </c>
      <c r="F5" s="15">
        <v>680</v>
      </c>
      <c r="G5" s="14">
        <v>400</v>
      </c>
      <c r="H5" s="14">
        <v>4.5</v>
      </c>
      <c r="J5" s="36">
        <f>D5*F5</f>
        <v>81600</v>
      </c>
      <c r="K5">
        <v>139</v>
      </c>
      <c r="L5" s="37">
        <f>J5*K5</f>
        <v>11342400</v>
      </c>
      <c r="M5" s="39"/>
    </row>
    <row r="6" spans="1:13">
      <c r="A6" s="16" t="s">
        <v>29</v>
      </c>
      <c r="B6" s="17" t="s">
        <v>30</v>
      </c>
      <c r="C6" s="18">
        <v>280</v>
      </c>
      <c r="D6" s="18">
        <v>85</v>
      </c>
      <c r="E6" s="16" t="s">
        <v>31</v>
      </c>
      <c r="F6" s="19">
        <v>120</v>
      </c>
      <c r="G6" s="18">
        <v>250</v>
      </c>
      <c r="H6" s="18">
        <v>5.2</v>
      </c>
      <c r="J6" s="36">
        <f t="shared" ref="J6:J9" si="0">D6*F6</f>
        <v>10200</v>
      </c>
      <c r="K6">
        <v>139</v>
      </c>
      <c r="L6" s="37">
        <f t="shared" ref="L6:L9" si="1">J6*K6</f>
        <v>1417800</v>
      </c>
    </row>
    <row r="7" spans="1:13">
      <c r="A7" s="13" t="s">
        <v>32</v>
      </c>
      <c r="B7" s="7" t="s">
        <v>33</v>
      </c>
      <c r="C7" s="14">
        <v>520</v>
      </c>
      <c r="D7" s="14">
        <v>210</v>
      </c>
      <c r="E7" s="13" t="s">
        <v>34</v>
      </c>
      <c r="F7" s="15">
        <v>850</v>
      </c>
      <c r="G7" s="14">
        <v>480</v>
      </c>
      <c r="H7" s="14">
        <v>3.8</v>
      </c>
      <c r="J7" s="36">
        <f t="shared" si="0"/>
        <v>178500</v>
      </c>
      <c r="K7">
        <v>139</v>
      </c>
      <c r="L7" s="37">
        <f t="shared" si="1"/>
        <v>24811500</v>
      </c>
    </row>
    <row r="8" spans="1:13">
      <c r="A8" s="16" t="s">
        <v>35</v>
      </c>
      <c r="B8" s="17" t="s">
        <v>36</v>
      </c>
      <c r="C8" s="18">
        <v>150</v>
      </c>
      <c r="D8" s="18">
        <v>65</v>
      </c>
      <c r="E8" s="16" t="s">
        <v>37</v>
      </c>
      <c r="F8" s="19">
        <v>45</v>
      </c>
      <c r="G8" s="18">
        <v>120</v>
      </c>
      <c r="H8" s="18">
        <v>1.9</v>
      </c>
      <c r="J8" s="36">
        <f t="shared" si="0"/>
        <v>2925</v>
      </c>
      <c r="K8">
        <v>139</v>
      </c>
      <c r="L8" s="37">
        <f t="shared" si="1"/>
        <v>406575</v>
      </c>
    </row>
    <row r="9" spans="1:13">
      <c r="A9" s="13" t="s">
        <v>38</v>
      </c>
      <c r="B9" s="7" t="s">
        <v>39</v>
      </c>
      <c r="C9" s="14">
        <v>310</v>
      </c>
      <c r="D9" s="14">
        <v>140</v>
      </c>
      <c r="E9" s="13" t="s">
        <v>40</v>
      </c>
      <c r="F9" s="15">
        <v>210</v>
      </c>
      <c r="G9" s="14">
        <v>290</v>
      </c>
      <c r="H9" s="14">
        <v>2.8</v>
      </c>
      <c r="J9" s="36">
        <f t="shared" si="0"/>
        <v>29400</v>
      </c>
      <c r="K9">
        <v>139</v>
      </c>
      <c r="L9" s="37">
        <f t="shared" si="1"/>
        <v>4086600</v>
      </c>
    </row>
    <row r="11" spans="1:13">
      <c r="A11" s="20" t="s">
        <v>41</v>
      </c>
      <c r="B11" s="21"/>
      <c r="C11" s="22">
        <f t="shared" ref="C11:H11" si="2">SUM(C5:C10)</f>
        <v>1710</v>
      </c>
      <c r="D11" s="22">
        <f t="shared" si="2"/>
        <v>620</v>
      </c>
      <c r="E11" s="22">
        <f t="shared" si="2"/>
        <v>0</v>
      </c>
      <c r="F11" s="23">
        <f t="shared" si="2"/>
        <v>1905</v>
      </c>
      <c r="G11" s="22">
        <f t="shared" si="2"/>
        <v>1540</v>
      </c>
      <c r="H11" s="22">
        <f t="shared" si="2"/>
        <v>18.2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1F6BF-D0B2-41DE-A6BD-7CD908E4B332}">
  <dimension ref="B3:D10"/>
  <sheetViews>
    <sheetView workbookViewId="0"/>
  </sheetViews>
  <sheetFormatPr defaultRowHeight="15"/>
  <cols>
    <col min="2" max="2" width="28.5703125" customWidth="1"/>
    <col min="3" max="3" width="31.5703125" customWidth="1"/>
    <col min="4" max="4" width="36.28515625" customWidth="1"/>
    <col min="5" max="5" width="17" customWidth="1"/>
    <col min="6" max="14" width="44.140625" customWidth="1"/>
  </cols>
  <sheetData>
    <row r="3" spans="2:4">
      <c r="B3" t="s">
        <v>108</v>
      </c>
    </row>
    <row r="4" spans="2:4" ht="15.75" thickBot="1"/>
    <row r="5" spans="2:4" ht="15.75" thickBot="1">
      <c r="B5" s="40" t="s">
        <v>106</v>
      </c>
      <c r="C5" s="40" t="s">
        <v>107</v>
      </c>
      <c r="D5" s="40" t="s">
        <v>104</v>
      </c>
    </row>
    <row r="6" spans="2:4" ht="43.5" thickBot="1">
      <c r="B6" s="40" t="s">
        <v>28</v>
      </c>
      <c r="C6" s="41" t="s">
        <v>103</v>
      </c>
      <c r="D6" s="41" t="s">
        <v>102</v>
      </c>
    </row>
    <row r="7" spans="2:4" ht="29.25" thickBot="1">
      <c r="B7" s="40" t="s">
        <v>31</v>
      </c>
      <c r="C7" s="41" t="s">
        <v>101</v>
      </c>
      <c r="D7" s="41" t="s">
        <v>100</v>
      </c>
    </row>
    <row r="8" spans="2:4" ht="29.25" thickBot="1">
      <c r="B8" s="40" t="s">
        <v>34</v>
      </c>
      <c r="C8" s="41" t="s">
        <v>99</v>
      </c>
      <c r="D8" s="41" t="s">
        <v>98</v>
      </c>
    </row>
    <row r="9" spans="2:4" ht="29.25" thickBot="1">
      <c r="B9" s="40" t="s">
        <v>37</v>
      </c>
      <c r="C9" s="41" t="s">
        <v>97</v>
      </c>
      <c r="D9" s="41" t="s">
        <v>96</v>
      </c>
    </row>
    <row r="10" spans="2:4" ht="29.25" thickBot="1">
      <c r="B10" s="40" t="s">
        <v>40</v>
      </c>
      <c r="C10" s="41" t="s">
        <v>95</v>
      </c>
      <c r="D10" s="41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5A4B3-D977-41BF-84E7-BE88B2F5E8C5}">
  <dimension ref="B2:N14"/>
  <sheetViews>
    <sheetView workbookViewId="0">
      <selection activeCell="H6" sqref="H6"/>
    </sheetView>
  </sheetViews>
  <sheetFormatPr defaultRowHeight="15"/>
  <cols>
    <col min="2" max="2" width="23.5703125" customWidth="1"/>
    <col min="3" max="4" width="17" customWidth="1"/>
    <col min="5" max="8" width="23.7109375" customWidth="1"/>
    <col min="11" max="13" width="26" customWidth="1"/>
    <col min="14" max="14" width="51.5703125" customWidth="1"/>
  </cols>
  <sheetData>
    <row r="2" spans="2:14">
      <c r="B2" s="48" t="s">
        <v>92</v>
      </c>
      <c r="K2" s="48" t="s">
        <v>93</v>
      </c>
    </row>
    <row r="3" spans="2:14" ht="15.75" thickBot="1">
      <c r="B3" s="38"/>
    </row>
    <row r="4" spans="2:14" ht="45.75" thickBot="1">
      <c r="B4" s="40" t="s">
        <v>80</v>
      </c>
      <c r="C4" s="40" t="s">
        <v>81</v>
      </c>
      <c r="D4" s="40" t="s">
        <v>105</v>
      </c>
      <c r="E4" s="40" t="s">
        <v>82</v>
      </c>
      <c r="F4" s="49" t="s">
        <v>83</v>
      </c>
      <c r="G4" s="40" t="s">
        <v>84</v>
      </c>
      <c r="H4" s="40" t="s">
        <v>85</v>
      </c>
      <c r="K4" s="40" t="s">
        <v>110</v>
      </c>
      <c r="L4" s="40" t="s">
        <v>111</v>
      </c>
      <c r="M4" s="40" t="s">
        <v>112</v>
      </c>
      <c r="N4" s="40" t="s">
        <v>113</v>
      </c>
    </row>
    <row r="5" spans="2:14" ht="30.75" thickBot="1">
      <c r="B5" s="40" t="s">
        <v>3</v>
      </c>
      <c r="C5" s="41" t="s">
        <v>86</v>
      </c>
      <c r="D5" s="41" t="s">
        <v>109</v>
      </c>
      <c r="E5" s="42">
        <v>150</v>
      </c>
      <c r="F5" s="50">
        <v>0.12</v>
      </c>
      <c r="G5" s="44" t="s">
        <v>87</v>
      </c>
      <c r="H5" s="45">
        <v>1.4999999999999999E-2</v>
      </c>
      <c r="K5" s="40" t="s">
        <v>114</v>
      </c>
      <c r="L5" s="44" t="s">
        <v>115</v>
      </c>
      <c r="M5" s="41" t="s">
        <v>129</v>
      </c>
      <c r="N5" s="41" t="s">
        <v>131</v>
      </c>
    </row>
    <row r="6" spans="2:14" ht="30" thickBot="1">
      <c r="B6" s="40" t="s">
        <v>88</v>
      </c>
      <c r="C6" s="41" t="s">
        <v>86</v>
      </c>
      <c r="D6" s="41" t="s">
        <v>109</v>
      </c>
      <c r="E6" s="42">
        <v>250</v>
      </c>
      <c r="F6" s="50">
        <v>0.25</v>
      </c>
      <c r="G6" s="44" t="s">
        <v>133</v>
      </c>
      <c r="H6" s="45">
        <v>5.5E-2</v>
      </c>
      <c r="K6" s="49" t="s">
        <v>116</v>
      </c>
      <c r="L6" s="51" t="s">
        <v>115</v>
      </c>
      <c r="M6" s="52" t="s">
        <v>130</v>
      </c>
      <c r="N6" s="52" t="s">
        <v>117</v>
      </c>
    </row>
    <row r="7" spans="2:14" ht="57.75" thickBot="1">
      <c r="B7" s="40" t="s">
        <v>89</v>
      </c>
      <c r="C7" s="41" t="s">
        <v>90</v>
      </c>
      <c r="D7" s="41" t="s">
        <v>109</v>
      </c>
      <c r="E7" s="42">
        <v>0</v>
      </c>
      <c r="F7" s="50">
        <v>0</v>
      </c>
      <c r="G7" s="44" t="s">
        <v>91</v>
      </c>
      <c r="H7" s="45">
        <v>0.24</v>
      </c>
      <c r="K7" s="40" t="s">
        <v>118</v>
      </c>
      <c r="L7" s="44" t="s">
        <v>119</v>
      </c>
      <c r="M7" s="44" t="s">
        <v>120</v>
      </c>
      <c r="N7" s="41" t="s">
        <v>121</v>
      </c>
    </row>
    <row r="8" spans="2:14" ht="59.25" thickBot="1">
      <c r="K8" s="40" t="s">
        <v>122</v>
      </c>
      <c r="L8" s="44" t="s">
        <v>115</v>
      </c>
      <c r="M8" s="44" t="s">
        <v>123</v>
      </c>
      <c r="N8" s="41" t="s">
        <v>124</v>
      </c>
    </row>
    <row r="9" spans="2:14" ht="43.5" thickBot="1">
      <c r="B9" s="48" t="s">
        <v>132</v>
      </c>
      <c r="K9" s="40" t="s">
        <v>125</v>
      </c>
      <c r="L9" s="44" t="s">
        <v>126</v>
      </c>
      <c r="M9" s="44" t="s">
        <v>127</v>
      </c>
      <c r="N9" s="41" t="s">
        <v>128</v>
      </c>
    </row>
    <row r="10" spans="2:14" ht="15.75" thickBot="1">
      <c r="B10" s="38"/>
    </row>
    <row r="11" spans="2:14" ht="45.75" thickBot="1">
      <c r="B11" s="40" t="s">
        <v>80</v>
      </c>
      <c r="C11" s="40" t="s">
        <v>81</v>
      </c>
      <c r="D11" s="40" t="s">
        <v>105</v>
      </c>
      <c r="E11" s="40" t="s">
        <v>82</v>
      </c>
      <c r="F11" s="40" t="s">
        <v>83</v>
      </c>
      <c r="G11" s="40" t="s">
        <v>84</v>
      </c>
      <c r="H11" s="40" t="s">
        <v>85</v>
      </c>
    </row>
    <row r="12" spans="2:14" ht="30.75" thickBot="1">
      <c r="B12" s="40" t="s">
        <v>3</v>
      </c>
      <c r="C12" s="41" t="s">
        <v>86</v>
      </c>
      <c r="D12" s="41"/>
      <c r="E12" s="42"/>
      <c r="F12" s="43"/>
      <c r="G12" s="44"/>
      <c r="H12" s="45"/>
    </row>
    <row r="13" spans="2:14" ht="15.75" thickBot="1">
      <c r="B13" s="40" t="s">
        <v>88</v>
      </c>
      <c r="C13" s="41" t="s">
        <v>86</v>
      </c>
      <c r="D13" s="41"/>
      <c r="E13" s="42"/>
      <c r="F13" s="43"/>
      <c r="G13" s="44"/>
      <c r="H13" s="45"/>
    </row>
    <row r="14" spans="2:14" ht="15.75" thickBot="1">
      <c r="B14" s="40" t="s">
        <v>89</v>
      </c>
      <c r="C14" s="41" t="s">
        <v>90</v>
      </c>
      <c r="D14" s="41"/>
      <c r="E14" s="42"/>
      <c r="F14" s="43"/>
      <c r="G14" s="44"/>
      <c r="H14" s="4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3"/>
  <sheetViews>
    <sheetView topLeftCell="H1" workbookViewId="0">
      <selection activeCell="M6" sqref="M6"/>
    </sheetView>
  </sheetViews>
  <sheetFormatPr defaultRowHeight="15"/>
  <cols>
    <col min="1" max="1" width="43" customWidth="1"/>
    <col min="2" max="2" width="24" customWidth="1"/>
    <col min="3" max="3" width="63" customWidth="1"/>
    <col min="4" max="5" width="29" customWidth="1"/>
    <col min="6" max="6" width="18" customWidth="1"/>
    <col min="7" max="7" width="64" customWidth="1"/>
    <col min="8" max="9" width="29" customWidth="1"/>
    <col min="10" max="10" width="18" customWidth="1"/>
    <col min="11" max="11" width="27" customWidth="1"/>
    <col min="12" max="12" width="18" customWidth="1"/>
    <col min="13" max="13" width="20" customWidth="1"/>
    <col min="14" max="14" width="18" customWidth="1"/>
  </cols>
  <sheetData>
    <row r="1" spans="1:14" ht="21">
      <c r="A1" s="1" t="s">
        <v>42</v>
      </c>
    </row>
    <row r="4" spans="1:14">
      <c r="A4" s="46" t="s">
        <v>18</v>
      </c>
      <c r="B4" s="46" t="s">
        <v>43</v>
      </c>
      <c r="C4" s="46" t="s">
        <v>44</v>
      </c>
      <c r="D4" s="46"/>
      <c r="E4" s="46"/>
      <c r="F4" s="46"/>
      <c r="G4" s="46" t="s">
        <v>45</v>
      </c>
      <c r="H4" s="46"/>
      <c r="I4" s="46"/>
      <c r="J4" s="46"/>
      <c r="K4" s="46" t="s">
        <v>46</v>
      </c>
      <c r="L4" s="46"/>
      <c r="M4" s="46"/>
      <c r="N4" s="46"/>
    </row>
    <row r="5" spans="1:14">
      <c r="A5" s="46"/>
      <c r="B5" s="46"/>
      <c r="C5" s="24" t="s">
        <v>47</v>
      </c>
      <c r="D5" s="24" t="s">
        <v>48</v>
      </c>
      <c r="E5" s="24" t="s">
        <v>49</v>
      </c>
      <c r="F5" s="24" t="s">
        <v>50</v>
      </c>
      <c r="G5" s="24" t="s">
        <v>47</v>
      </c>
      <c r="H5" s="24" t="s">
        <v>48</v>
      </c>
      <c r="I5" s="24" t="s">
        <v>49</v>
      </c>
      <c r="J5" s="24" t="s">
        <v>50</v>
      </c>
      <c r="K5" s="24" t="s">
        <v>47</v>
      </c>
      <c r="L5" s="24" t="s">
        <v>48</v>
      </c>
      <c r="M5" s="24" t="s">
        <v>49</v>
      </c>
      <c r="N5" s="24" t="s">
        <v>50</v>
      </c>
    </row>
    <row r="6" spans="1:14">
      <c r="A6" s="25" t="s">
        <v>26</v>
      </c>
      <c r="B6" s="26" t="str">
        <f>'Portfolio Setup'!B5</f>
        <v>Gas-Fired Thermal Power Plant</v>
      </c>
      <c r="C6" s="27">
        <f>('Portfolio Setup'!D5*'Portfolio Setup'!F5/1000000)*150*0.1</f>
        <v>1.2240000000000002</v>
      </c>
      <c r="D6" s="27">
        <f>'Portfolio Setup'!D5*0.12</f>
        <v>14.399999999999999</v>
      </c>
      <c r="E6" s="27">
        <f>'Portfolio Setup'!C5*0.15</f>
        <v>67.5</v>
      </c>
      <c r="F6" s="28">
        <f>SUM(C6:E6)</f>
        <v>83.123999999999995</v>
      </c>
      <c r="G6" s="27">
        <f>('Portfolio Setup'!D5*'Portfolio Setup'!F5/1000000)*250*0.15</f>
        <v>3.06</v>
      </c>
      <c r="H6" s="27">
        <f>'Portfolio Setup'!D5*0.25</f>
        <v>30</v>
      </c>
      <c r="I6" s="27">
        <f>'Portfolio Setup'!C5*0.45</f>
        <v>202.5</v>
      </c>
      <c r="J6" s="28">
        <f>SUM(G6:I6)</f>
        <v>235.56</v>
      </c>
      <c r="K6" s="27" t="s">
        <v>51</v>
      </c>
      <c r="L6" s="27" t="s">
        <v>51</v>
      </c>
      <c r="M6" s="27" t="s">
        <v>51</v>
      </c>
      <c r="N6" s="28">
        <f>SUM(K6:M6)</f>
        <v>0</v>
      </c>
    </row>
    <row r="7" spans="1:14">
      <c r="A7" s="29" t="s">
        <v>29</v>
      </c>
      <c r="B7" s="30" t="str">
        <f>'Portfolio Setup'!B6</f>
        <v>Coastal Logistics Hub</v>
      </c>
      <c r="C7" s="6">
        <f>('Portfolio Setup'!D6*'Portfolio Setup'!F6/1000000)*150*0.1</f>
        <v>0.15300000000000002</v>
      </c>
      <c r="D7" s="6">
        <f>'Portfolio Setup'!D6*0.04</f>
        <v>3.4</v>
      </c>
      <c r="E7" s="6">
        <f>'Portfolio Setup'!C6*0</f>
        <v>0</v>
      </c>
      <c r="F7" s="31">
        <f>SUM(C7:E7)</f>
        <v>3.5529999999999999</v>
      </c>
      <c r="G7" s="6">
        <f>('Portfolio Setup'!D6*'Portfolio Setup'!F6/1000000)*250*0.15</f>
        <v>0.38250000000000001</v>
      </c>
      <c r="H7" s="6">
        <f>'Portfolio Setup'!D6*0.08</f>
        <v>6.8</v>
      </c>
      <c r="I7" s="6">
        <f>'Portfolio Setup'!C6*0</f>
        <v>0</v>
      </c>
      <c r="J7" s="31">
        <f>SUM(G7:I7)</f>
        <v>7.1825000000000001</v>
      </c>
      <c r="K7" s="6" t="s">
        <v>51</v>
      </c>
      <c r="L7" s="6" t="s">
        <v>51</v>
      </c>
      <c r="M7" s="6" t="s">
        <v>51</v>
      </c>
      <c r="N7" s="31">
        <f>SUM(K7:M7)</f>
        <v>0</v>
      </c>
    </row>
    <row r="8" spans="1:14">
      <c r="A8" s="25" t="s">
        <v>32</v>
      </c>
      <c r="B8" s="26" t="str">
        <f>'Portfolio Setup'!B7</f>
        <v>Heavy Metallurgy Foundry</v>
      </c>
      <c r="C8" s="27">
        <f>('Portfolio Setup'!D7*'Portfolio Setup'!F7/1000000)*150*0.1</f>
        <v>2.6775000000000002</v>
      </c>
      <c r="D8" s="27">
        <f>'Portfolio Setup'!D7*0.15</f>
        <v>31.5</v>
      </c>
      <c r="E8" s="27">
        <f>'Portfolio Setup'!C7*0.1</f>
        <v>52</v>
      </c>
      <c r="F8" s="28">
        <f>SUM(C8:E8)</f>
        <v>86.177500000000009</v>
      </c>
      <c r="G8" s="27">
        <f>('Portfolio Setup'!D7*'Portfolio Setup'!F7/1000000)*250*0.15</f>
        <v>6.6937499999999996</v>
      </c>
      <c r="H8" s="27">
        <f>'Portfolio Setup'!D7*0.3</f>
        <v>63</v>
      </c>
      <c r="I8" s="27">
        <f>'Portfolio Setup'!C7*0.35</f>
        <v>182</v>
      </c>
      <c r="J8" s="28">
        <f>SUM(G8:I8)</f>
        <v>251.69374999999999</v>
      </c>
      <c r="K8" s="27" t="s">
        <v>51</v>
      </c>
      <c r="L8" s="27" t="s">
        <v>51</v>
      </c>
      <c r="M8" s="27" t="s">
        <v>51</v>
      </c>
      <c r="N8" s="28">
        <f>SUM(K8:M8)</f>
        <v>0</v>
      </c>
    </row>
    <row r="9" spans="1:14">
      <c r="A9" s="29" t="s">
        <v>35</v>
      </c>
      <c r="B9" s="30" t="str">
        <f>'Portfolio Setup'!B8</f>
        <v>Agricultural Depot</v>
      </c>
      <c r="C9" s="6">
        <f>('Portfolio Setup'!D8*'Portfolio Setup'!F8/1000000)*150*0.1</f>
        <v>4.3875000000000004E-2</v>
      </c>
      <c r="D9" s="6">
        <f>'Portfolio Setup'!D8*0.02</f>
        <v>1.3</v>
      </c>
      <c r="E9" s="6">
        <f>'Portfolio Setup'!C8*0</f>
        <v>0</v>
      </c>
      <c r="F9" s="31">
        <f>SUM(C9:E9)</f>
        <v>1.3438750000000002</v>
      </c>
      <c r="G9" s="6">
        <f>('Portfolio Setup'!D8*'Portfolio Setup'!F8/1000000)*250*0.15</f>
        <v>0.10968750000000001</v>
      </c>
      <c r="H9" s="6">
        <f>'Portfolio Setup'!D8*0.05</f>
        <v>3.25</v>
      </c>
      <c r="I9" s="6">
        <f>'Portfolio Setup'!C8*0</f>
        <v>0</v>
      </c>
      <c r="J9" s="31">
        <f>SUM(G9:I9)</f>
        <v>3.3596875000000002</v>
      </c>
      <c r="K9" s="6" t="s">
        <v>51</v>
      </c>
      <c r="L9" s="6" t="s">
        <v>51</v>
      </c>
      <c r="M9" s="6" t="s">
        <v>51</v>
      </c>
      <c r="N9" s="31">
        <f>SUM(K9:M9)</f>
        <v>0</v>
      </c>
    </row>
    <row r="10" spans="1:14">
      <c r="A10" s="25" t="s">
        <v>38</v>
      </c>
      <c r="B10" s="26" t="str">
        <f>'Portfolio Setup'!B9</f>
        <v>Data Center Complex</v>
      </c>
      <c r="C10" s="27">
        <f>('Portfolio Setup'!D9*'Portfolio Setup'!F9/1000000)*150*0.1</f>
        <v>0.44100000000000006</v>
      </c>
      <c r="D10" s="27">
        <f>'Portfolio Setup'!D9*0.05</f>
        <v>7</v>
      </c>
      <c r="E10" s="27">
        <f>'Portfolio Setup'!C9*0.05</f>
        <v>15.5</v>
      </c>
      <c r="F10" s="28">
        <f>SUM(C10:E10)</f>
        <v>22.940999999999999</v>
      </c>
      <c r="G10" s="27">
        <f>('Portfolio Setup'!D9*'Portfolio Setup'!F9/1000000)*250*0.15</f>
        <v>1.1024999999999998</v>
      </c>
      <c r="H10" s="27">
        <f>'Portfolio Setup'!D9*0.1</f>
        <v>14</v>
      </c>
      <c r="I10" s="27">
        <f>'Portfolio Setup'!C9*0.2</f>
        <v>62</v>
      </c>
      <c r="J10" s="28">
        <f>SUM(G10:I10)</f>
        <v>77.102499999999992</v>
      </c>
      <c r="K10" s="27" t="s">
        <v>51</v>
      </c>
      <c r="L10" s="27" t="s">
        <v>51</v>
      </c>
      <c r="M10" s="27" t="s">
        <v>51</v>
      </c>
      <c r="N10" s="28">
        <f>SUM(K10:M10)</f>
        <v>0</v>
      </c>
    </row>
    <row r="11" spans="1:14">
      <c r="A11" s="20" t="s">
        <v>52</v>
      </c>
      <c r="B11" s="21"/>
      <c r="C11" s="22">
        <f t="shared" ref="C11:N11" si="0">SUM(C6:C10)</f>
        <v>4.5393750000000006</v>
      </c>
      <c r="D11" s="22">
        <f t="shared" si="0"/>
        <v>57.599999999999994</v>
      </c>
      <c r="E11" s="22">
        <f t="shared" si="0"/>
        <v>135</v>
      </c>
      <c r="F11" s="22">
        <f t="shared" si="0"/>
        <v>197.139375</v>
      </c>
      <c r="G11" s="22">
        <f t="shared" si="0"/>
        <v>11.348437499999999</v>
      </c>
      <c r="H11" s="22">
        <f t="shared" si="0"/>
        <v>117.05</v>
      </c>
      <c r="I11" s="22">
        <f t="shared" si="0"/>
        <v>446.5</v>
      </c>
      <c r="J11" s="22">
        <f t="shared" si="0"/>
        <v>574.8984375</v>
      </c>
      <c r="K11" s="22">
        <f t="shared" si="0"/>
        <v>0</v>
      </c>
      <c r="L11" s="22">
        <f t="shared" si="0"/>
        <v>0</v>
      </c>
      <c r="M11" s="22">
        <f t="shared" si="0"/>
        <v>0</v>
      </c>
      <c r="N11" s="22">
        <f t="shared" si="0"/>
        <v>0</v>
      </c>
    </row>
    <row r="13" spans="1:14">
      <c r="C13" s="47"/>
    </row>
  </sheetData>
  <mergeCells count="5">
    <mergeCell ref="K4:N4"/>
    <mergeCell ref="B4:B5"/>
    <mergeCell ref="C4:F4"/>
    <mergeCell ref="A4:A5"/>
    <mergeCell ref="G4:J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topLeftCell="C1" workbookViewId="0">
      <selection activeCell="E6" sqref="E6"/>
    </sheetView>
  </sheetViews>
  <sheetFormatPr defaultRowHeight="15"/>
  <cols>
    <col min="1" max="1" width="41" customWidth="1"/>
    <col min="2" max="2" width="24" customWidth="1"/>
    <col min="3" max="3" width="29" customWidth="1"/>
    <col min="4" max="4" width="30" customWidth="1"/>
    <col min="5" max="5" width="43" customWidth="1"/>
    <col min="6" max="6" width="16" customWidth="1"/>
    <col min="7" max="8" width="30" customWidth="1"/>
    <col min="9" max="9" width="43" customWidth="1"/>
    <col min="10" max="10" width="16" customWidth="1"/>
    <col min="11" max="11" width="42" customWidth="1"/>
    <col min="12" max="12" width="29" customWidth="1"/>
    <col min="13" max="13" width="43" customWidth="1"/>
    <col min="14" max="14" width="16" customWidth="1"/>
  </cols>
  <sheetData>
    <row r="1" spans="1:14" ht="21">
      <c r="A1" s="1" t="s">
        <v>53</v>
      </c>
    </row>
    <row r="4" spans="1:14">
      <c r="A4" s="46" t="s">
        <v>18</v>
      </c>
      <c r="B4" s="46" t="s">
        <v>43</v>
      </c>
      <c r="C4" s="46" t="s">
        <v>54</v>
      </c>
      <c r="D4" s="46"/>
      <c r="E4" s="46"/>
      <c r="F4" s="46"/>
      <c r="G4" s="46" t="s">
        <v>55</v>
      </c>
      <c r="H4" s="46"/>
      <c r="I4" s="46"/>
      <c r="J4" s="46"/>
      <c r="K4" s="46" t="s">
        <v>56</v>
      </c>
      <c r="L4" s="46"/>
      <c r="M4" s="46"/>
      <c r="N4" s="46"/>
    </row>
    <row r="5" spans="1:14">
      <c r="A5" s="46"/>
      <c r="B5" s="46"/>
      <c r="C5" s="24" t="s">
        <v>57</v>
      </c>
      <c r="D5" s="24" t="s">
        <v>58</v>
      </c>
      <c r="E5" s="24" t="s">
        <v>59</v>
      </c>
      <c r="F5" s="24" t="s">
        <v>60</v>
      </c>
      <c r="G5" s="24" t="s">
        <v>57</v>
      </c>
      <c r="H5" s="24" t="s">
        <v>58</v>
      </c>
      <c r="I5" s="24" t="s">
        <v>59</v>
      </c>
      <c r="J5" s="24" t="s">
        <v>60</v>
      </c>
      <c r="K5" s="24" t="s">
        <v>57</v>
      </c>
      <c r="L5" s="24" t="s">
        <v>58</v>
      </c>
      <c r="M5" s="24" t="s">
        <v>59</v>
      </c>
      <c r="N5" s="24" t="s">
        <v>60</v>
      </c>
    </row>
    <row r="6" spans="1:14">
      <c r="A6" s="25" t="s">
        <v>26</v>
      </c>
      <c r="B6" s="26" t="str">
        <f>'Portfolio Setup'!B5</f>
        <v>Gas-Fired Thermal Power Plant</v>
      </c>
      <c r="C6" s="27">
        <f>'Portfolio Setup'!C5*0.01</f>
        <v>4.5</v>
      </c>
      <c r="D6" s="27">
        <f>'Portfolio Setup'!D5*0.015</f>
        <v>1.7999999999999998</v>
      </c>
      <c r="E6" s="27">
        <f>MAX(0, C6-('Portfolio Setup'!G5*0.02))</f>
        <v>0</v>
      </c>
      <c r="F6" s="28">
        <f>SUM(C6:E6)</f>
        <v>6.3</v>
      </c>
      <c r="G6" s="27">
        <f>'Portfolio Setup'!C5*0.04</f>
        <v>18</v>
      </c>
      <c r="H6" s="27">
        <f>'Portfolio Setup'!D5*0.055</f>
        <v>6.6</v>
      </c>
      <c r="I6" s="27">
        <f>MAX(0, G6-('Portfolio Setup'!G5*0.1))</f>
        <v>0</v>
      </c>
      <c r="J6" s="28">
        <f>SUM(G6:I6)</f>
        <v>24.6</v>
      </c>
      <c r="K6" s="27">
        <f>'Portfolio Setup'!C5*0.18</f>
        <v>81</v>
      </c>
      <c r="L6" s="27">
        <f>'Portfolio Setup'!D5*0.24</f>
        <v>28.799999999999997</v>
      </c>
      <c r="M6" s="27">
        <f>MAX(0, K6-('Portfolio Setup'!G5*0.4))</f>
        <v>0</v>
      </c>
      <c r="N6" s="28">
        <f>SUM(K6:M6)</f>
        <v>109.8</v>
      </c>
    </row>
    <row r="7" spans="1:14">
      <c r="A7" s="29" t="s">
        <v>29</v>
      </c>
      <c r="B7" s="30" t="str">
        <f>'Portfolio Setup'!B6</f>
        <v>Coastal Logistics Hub</v>
      </c>
      <c r="C7" s="6">
        <f>'Portfolio Setup'!C6*0.03</f>
        <v>8.4</v>
      </c>
      <c r="D7" s="6">
        <f>'Portfolio Setup'!D6*0.01</f>
        <v>0.85</v>
      </c>
      <c r="E7" s="6">
        <f>MAX(0, C7-('Portfolio Setup'!G6*0.02))</f>
        <v>3.4000000000000004</v>
      </c>
      <c r="F7" s="31">
        <f>SUM(C7:E7)</f>
        <v>12.65</v>
      </c>
      <c r="G7" s="6">
        <f>'Portfolio Setup'!C6*0.09</f>
        <v>25.2</v>
      </c>
      <c r="H7" s="6">
        <f>'Portfolio Setup'!D6*0.04</f>
        <v>3.4</v>
      </c>
      <c r="I7" s="6">
        <f>MAX(0, G7-('Portfolio Setup'!G6*0.15))</f>
        <v>0</v>
      </c>
      <c r="J7" s="31">
        <f>SUM(G7:I7)</f>
        <v>28.599999999999998</v>
      </c>
      <c r="K7" s="6">
        <f>'Portfolio Setup'!C6*0.35</f>
        <v>98</v>
      </c>
      <c r="L7" s="6">
        <f>'Portfolio Setup'!D6*0.18</f>
        <v>15.299999999999999</v>
      </c>
      <c r="M7" s="6">
        <f>MAX(0, K7-('Portfolio Setup'!G6*0.65))</f>
        <v>0</v>
      </c>
      <c r="N7" s="31">
        <f>SUM(K7:M7)</f>
        <v>113.3</v>
      </c>
    </row>
    <row r="8" spans="1:14">
      <c r="A8" s="25" t="s">
        <v>32</v>
      </c>
      <c r="B8" s="26" t="str">
        <f>'Portfolio Setup'!B7</f>
        <v>Heavy Metallurgy Foundry</v>
      </c>
      <c r="C8" s="27">
        <f>'Portfolio Setup'!C7*0.01</f>
        <v>5.2</v>
      </c>
      <c r="D8" s="27">
        <f>'Portfolio Setup'!D7*0.025</f>
        <v>5.25</v>
      </c>
      <c r="E8" s="27">
        <f>MAX(0, C8-('Portfolio Setup'!G7*0.02))</f>
        <v>0</v>
      </c>
      <c r="F8" s="28">
        <f>SUM(C8:E8)</f>
        <v>10.45</v>
      </c>
      <c r="G8" s="27">
        <f>'Portfolio Setup'!C7*0.03</f>
        <v>15.6</v>
      </c>
      <c r="H8" s="27">
        <f>'Portfolio Setup'!D7*0.07</f>
        <v>14.700000000000001</v>
      </c>
      <c r="I8" s="27">
        <f>MAX(0, G8-('Portfolio Setup'!G7*0.1))</f>
        <v>0</v>
      </c>
      <c r="J8" s="28">
        <f>SUM(G8:I8)</f>
        <v>30.3</v>
      </c>
      <c r="K8" s="27">
        <f>'Portfolio Setup'!C7*0.15</f>
        <v>78</v>
      </c>
      <c r="L8" s="27">
        <f>'Portfolio Setup'!D7*0.28</f>
        <v>58.800000000000004</v>
      </c>
      <c r="M8" s="27">
        <f>MAX(0, K8-('Portfolio Setup'!G7*0.35))</f>
        <v>0</v>
      </c>
      <c r="N8" s="28">
        <f>SUM(K8:M8)</f>
        <v>136.80000000000001</v>
      </c>
    </row>
    <row r="9" spans="1:14">
      <c r="A9" s="29" t="s">
        <v>35</v>
      </c>
      <c r="B9" s="30" t="str">
        <f>'Portfolio Setup'!B8</f>
        <v>Agricultural Depot</v>
      </c>
      <c r="C9" s="6">
        <f>'Portfolio Setup'!C8*0.02</f>
        <v>3</v>
      </c>
      <c r="D9" s="6">
        <f>'Portfolio Setup'!D8*0.03</f>
        <v>1.95</v>
      </c>
      <c r="E9" s="6">
        <f>MAX(0, C9-('Portfolio Setup'!G8*0.02))</f>
        <v>0.60000000000000009</v>
      </c>
      <c r="F9" s="31">
        <f>SUM(C9:E9)</f>
        <v>5.5500000000000007</v>
      </c>
      <c r="G9" s="6">
        <f>'Portfolio Setup'!C8*0.06</f>
        <v>9</v>
      </c>
      <c r="H9" s="6">
        <f>'Portfolio Setup'!D8*0.085</f>
        <v>5.5250000000000004</v>
      </c>
      <c r="I9" s="6">
        <f>MAX(0, G9-('Portfolio Setup'!G8*0.1))</f>
        <v>0</v>
      </c>
      <c r="J9" s="31">
        <f>SUM(G9:I9)</f>
        <v>14.525</v>
      </c>
      <c r="K9" s="6">
        <f>'Portfolio Setup'!C8*0.25</f>
        <v>37.5</v>
      </c>
      <c r="L9" s="6">
        <f>'Portfolio Setup'!D8*0.32</f>
        <v>20.8</v>
      </c>
      <c r="M9" s="6">
        <f>MAX(0, K9-('Portfolio Setup'!G8*0.5))</f>
        <v>0</v>
      </c>
      <c r="N9" s="31">
        <f>SUM(K9:M9)</f>
        <v>58.3</v>
      </c>
    </row>
    <row r="10" spans="1:14">
      <c r="A10" s="25" t="s">
        <v>38</v>
      </c>
      <c r="B10" s="26" t="str">
        <f>'Portfolio Setup'!B9</f>
        <v>Data Center Complex</v>
      </c>
      <c r="C10" s="27">
        <f>'Portfolio Setup'!C9*0.01</f>
        <v>3.1</v>
      </c>
      <c r="D10" s="27">
        <f>'Portfolio Setup'!D9*0.02</f>
        <v>2.8000000000000003</v>
      </c>
      <c r="E10" s="27">
        <f>MAX(0, C10-('Portfolio Setup'!G9*0.02))</f>
        <v>0</v>
      </c>
      <c r="F10" s="28">
        <f>SUM(C10:E10)</f>
        <v>5.9</v>
      </c>
      <c r="G10" s="27">
        <f>'Portfolio Setup'!C9*0.04</f>
        <v>12.4</v>
      </c>
      <c r="H10" s="27">
        <f>'Portfolio Setup'!D9*0.06</f>
        <v>8.4</v>
      </c>
      <c r="I10" s="27">
        <f>MAX(0, G10-('Portfolio Setup'!G9*0.1))</f>
        <v>0</v>
      </c>
      <c r="J10" s="28">
        <f>SUM(G10:I10)</f>
        <v>20.8</v>
      </c>
      <c r="K10" s="27">
        <f>'Portfolio Setup'!C9*0.2</f>
        <v>62</v>
      </c>
      <c r="L10" s="27">
        <f>'Portfolio Setup'!D9*0.26</f>
        <v>36.4</v>
      </c>
      <c r="M10" s="27">
        <f>MAX(0, K10-('Portfolio Setup'!G9*0.45))</f>
        <v>0</v>
      </c>
      <c r="N10" s="28">
        <f>SUM(K10:M10)</f>
        <v>98.4</v>
      </c>
    </row>
    <row r="11" spans="1:14">
      <c r="A11" s="20" t="s">
        <v>52</v>
      </c>
      <c r="B11" s="21"/>
      <c r="C11" s="22">
        <f t="shared" ref="C11:N11" si="0">SUM(C6:C10)</f>
        <v>24.200000000000003</v>
      </c>
      <c r="D11" s="22">
        <f t="shared" si="0"/>
        <v>12.65</v>
      </c>
      <c r="E11" s="22">
        <f t="shared" si="0"/>
        <v>4</v>
      </c>
      <c r="F11" s="22">
        <f t="shared" si="0"/>
        <v>40.85</v>
      </c>
      <c r="G11" s="22">
        <f t="shared" si="0"/>
        <v>80.200000000000017</v>
      </c>
      <c r="H11" s="22">
        <f t="shared" si="0"/>
        <v>38.625</v>
      </c>
      <c r="I11" s="22">
        <f t="shared" si="0"/>
        <v>0</v>
      </c>
      <c r="J11" s="22">
        <f t="shared" si="0"/>
        <v>118.825</v>
      </c>
      <c r="K11" s="22">
        <f t="shared" si="0"/>
        <v>356.5</v>
      </c>
      <c r="L11" s="22">
        <f t="shared" si="0"/>
        <v>160.1</v>
      </c>
      <c r="M11" s="22">
        <f t="shared" si="0"/>
        <v>0</v>
      </c>
      <c r="N11" s="22">
        <f t="shared" si="0"/>
        <v>516.6</v>
      </c>
    </row>
  </sheetData>
  <mergeCells count="5">
    <mergeCell ref="K4:N4"/>
    <mergeCell ref="B4:B5"/>
    <mergeCell ref="C4:F4"/>
    <mergeCell ref="A4:A5"/>
    <mergeCell ref="G4:J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"/>
  <sheetViews>
    <sheetView topLeftCell="C1" workbookViewId="0">
      <selection activeCell="G6" sqref="G6"/>
    </sheetView>
  </sheetViews>
  <sheetFormatPr defaultRowHeight="15"/>
  <cols>
    <col min="1" max="1" width="56" customWidth="1"/>
    <col min="2" max="2" width="81" customWidth="1"/>
    <col min="3" max="3" width="22" customWidth="1"/>
    <col min="4" max="4" width="75" customWidth="1"/>
    <col min="5" max="5" width="24" customWidth="1"/>
    <col min="6" max="6" width="15" customWidth="1"/>
    <col min="7" max="7" width="17" customWidth="1"/>
    <col min="8" max="8" width="75" customWidth="1"/>
    <col min="9" max="9" width="24" customWidth="1"/>
    <col min="10" max="10" width="15" customWidth="1"/>
    <col min="11" max="11" width="17" customWidth="1"/>
    <col min="12" max="12" width="75" customWidth="1"/>
    <col min="13" max="13" width="24" customWidth="1"/>
    <col min="14" max="14" width="15" customWidth="1"/>
    <col min="15" max="15" width="17" customWidth="1"/>
  </cols>
  <sheetData>
    <row r="1" spans="1:15" ht="21">
      <c r="A1" s="1" t="s">
        <v>61</v>
      </c>
    </row>
    <row r="4" spans="1:15">
      <c r="A4" s="46" t="s">
        <v>18</v>
      </c>
      <c r="B4" s="46" t="s">
        <v>62</v>
      </c>
      <c r="C4" s="46" t="s">
        <v>63</v>
      </c>
      <c r="D4" s="46" t="s">
        <v>64</v>
      </c>
      <c r="E4" s="46"/>
      <c r="F4" s="46"/>
      <c r="G4" s="46"/>
      <c r="H4" s="46" t="s">
        <v>65</v>
      </c>
      <c r="I4" s="46"/>
      <c r="J4" s="46"/>
      <c r="K4" s="46"/>
      <c r="L4" s="46" t="s">
        <v>66</v>
      </c>
      <c r="M4" s="46"/>
      <c r="N4" s="46"/>
      <c r="O4" s="46"/>
    </row>
    <row r="5" spans="1:15">
      <c r="A5" s="46"/>
      <c r="B5" s="46"/>
      <c r="C5" s="46"/>
      <c r="D5" s="24" t="s">
        <v>67</v>
      </c>
      <c r="E5" s="24" t="s">
        <v>68</v>
      </c>
      <c r="F5" s="24" t="s">
        <v>69</v>
      </c>
      <c r="G5" s="24" t="s">
        <v>70</v>
      </c>
      <c r="H5" s="24" t="s">
        <v>67</v>
      </c>
      <c r="I5" s="24" t="s">
        <v>68</v>
      </c>
      <c r="J5" s="24" t="s">
        <v>69</v>
      </c>
      <c r="K5" s="24" t="s">
        <v>70</v>
      </c>
      <c r="L5" s="24" t="s">
        <v>67</v>
      </c>
      <c r="M5" s="24" t="s">
        <v>68</v>
      </c>
      <c r="N5" s="24" t="s">
        <v>69</v>
      </c>
      <c r="O5" s="24" t="s">
        <v>70</v>
      </c>
    </row>
    <row r="6" spans="1:15">
      <c r="A6" s="25" t="s">
        <v>26</v>
      </c>
      <c r="B6" s="26" t="s">
        <v>71</v>
      </c>
      <c r="C6" s="27">
        <v>45</v>
      </c>
      <c r="D6" s="27">
        <f>'Transition Risk Quantification'!F6+'Physical Risk Quantification'!F6</f>
        <v>89.423999999999992</v>
      </c>
      <c r="E6" s="32">
        <v>0.85</v>
      </c>
      <c r="F6" s="27">
        <f>D6*(1-E6)</f>
        <v>13.413600000000001</v>
      </c>
      <c r="G6" s="27">
        <f>(D6-F6)-C6</f>
        <v>31.01039999999999</v>
      </c>
      <c r="H6" s="27">
        <f>'Transition Risk Quantification'!J6+'Physical Risk Quantification'!J6</f>
        <v>260.16000000000003</v>
      </c>
      <c r="I6" s="32">
        <v>0.7</v>
      </c>
      <c r="J6" s="27">
        <f>H6*(1-I6)</f>
        <v>78.048000000000016</v>
      </c>
      <c r="K6" s="27">
        <f>(H6-J6)-C6</f>
        <v>137.11200000000002</v>
      </c>
      <c r="L6" s="27">
        <f>'Transition Risk Quantification'!N6+'Physical Risk Quantification'!N6</f>
        <v>109.8</v>
      </c>
      <c r="M6" s="32">
        <v>0.2</v>
      </c>
      <c r="N6" s="27">
        <f>L6*(1-M6)</f>
        <v>87.84</v>
      </c>
      <c r="O6" s="27">
        <f>(L6-N6)-C6</f>
        <v>-23.040000000000006</v>
      </c>
    </row>
    <row r="7" spans="1:15">
      <c r="A7" s="29" t="s">
        <v>29</v>
      </c>
      <c r="B7" s="30" t="s">
        <v>72</v>
      </c>
      <c r="C7" s="6">
        <v>30</v>
      </c>
      <c r="D7" s="6">
        <f>'Transition Risk Quantification'!F7+'Physical Risk Quantification'!F7</f>
        <v>16.202999999999999</v>
      </c>
      <c r="E7" s="33">
        <v>0.9</v>
      </c>
      <c r="F7" s="6">
        <f>D7*(1-E7)</f>
        <v>1.6202999999999996</v>
      </c>
      <c r="G7" s="6">
        <f>(D7-F7)-C7</f>
        <v>-15.417300000000001</v>
      </c>
      <c r="H7" s="6">
        <f>'Transition Risk Quantification'!J7+'Physical Risk Quantification'!J7</f>
        <v>35.782499999999999</v>
      </c>
      <c r="I7" s="33">
        <v>0.65</v>
      </c>
      <c r="J7" s="6">
        <f>H7*(1-I7)</f>
        <v>12.523874999999999</v>
      </c>
      <c r="K7" s="6">
        <f>(H7-J7)-C7</f>
        <v>-6.7413749999999979</v>
      </c>
      <c r="L7" s="6">
        <f>'Transition Risk Quantification'!N7+'Physical Risk Quantification'!N7</f>
        <v>113.3</v>
      </c>
      <c r="M7" s="33">
        <v>0.5</v>
      </c>
      <c r="N7" s="6">
        <f>L7*(1-M7)</f>
        <v>56.65</v>
      </c>
      <c r="O7" s="6">
        <f>(L7-N7)-C7</f>
        <v>26.65</v>
      </c>
    </row>
    <row r="8" spans="1:15">
      <c r="A8" s="25" t="s">
        <v>32</v>
      </c>
      <c r="B8" s="26" t="s">
        <v>73</v>
      </c>
      <c r="C8" s="27">
        <v>25</v>
      </c>
      <c r="D8" s="27">
        <f>'Transition Risk Quantification'!F8+'Physical Risk Quantification'!F8</f>
        <v>96.627500000000012</v>
      </c>
      <c r="E8" s="32">
        <v>0.8</v>
      </c>
      <c r="F8" s="27">
        <f>D8*(1-E8)</f>
        <v>19.325499999999998</v>
      </c>
      <c r="G8" s="27">
        <f>(D8-F8)-C8</f>
        <v>52.302000000000021</v>
      </c>
      <c r="H8" s="27">
        <f>'Transition Risk Quantification'!J8+'Physical Risk Quantification'!J8</f>
        <v>281.99374999999998</v>
      </c>
      <c r="I8" s="32">
        <v>0.75</v>
      </c>
      <c r="J8" s="27">
        <f>H8*(1-I8)</f>
        <v>70.498437499999994</v>
      </c>
      <c r="K8" s="27">
        <f>(H8-J8)-C8</f>
        <v>186.49531249999998</v>
      </c>
      <c r="L8" s="27">
        <f>'Transition Risk Quantification'!N8+'Physical Risk Quantification'!N8</f>
        <v>136.80000000000001</v>
      </c>
      <c r="M8" s="32">
        <v>0.35</v>
      </c>
      <c r="N8" s="27">
        <f>L8*(1-M8)</f>
        <v>88.920000000000016</v>
      </c>
      <c r="O8" s="27">
        <f>(L8-N8)-C8</f>
        <v>22.879999999999995</v>
      </c>
    </row>
    <row r="9" spans="1:15">
      <c r="A9" s="29" t="s">
        <v>35</v>
      </c>
      <c r="B9" s="30" t="s">
        <v>74</v>
      </c>
      <c r="C9" s="6">
        <v>15</v>
      </c>
      <c r="D9" s="6">
        <f>'Transition Risk Quantification'!F9+'Physical Risk Quantification'!F9</f>
        <v>6.8938750000000013</v>
      </c>
      <c r="E9" s="33">
        <v>0.95</v>
      </c>
      <c r="F9" s="6">
        <f>D9*(1-E9)</f>
        <v>0.34469375000000035</v>
      </c>
      <c r="G9" s="6">
        <f>(D9-F9)-C9</f>
        <v>-8.4508187499999998</v>
      </c>
      <c r="H9" s="6">
        <f>'Transition Risk Quantification'!J9+'Physical Risk Quantification'!J9</f>
        <v>17.884687500000002</v>
      </c>
      <c r="I9" s="33">
        <v>0.5</v>
      </c>
      <c r="J9" s="6">
        <f>H9*(1-I9)</f>
        <v>8.9423437500000009</v>
      </c>
      <c r="K9" s="6">
        <f>(H9-J9)-C9</f>
        <v>-6.0576562499999991</v>
      </c>
      <c r="L9" s="6">
        <f>'Transition Risk Quantification'!N9+'Physical Risk Quantification'!N9</f>
        <v>58.3</v>
      </c>
      <c r="M9" s="33">
        <v>0.3</v>
      </c>
      <c r="N9" s="6">
        <f>L9*(1-M9)</f>
        <v>40.809999999999995</v>
      </c>
      <c r="O9" s="6">
        <f>(L9-N9)-C9</f>
        <v>2.490000000000002</v>
      </c>
    </row>
    <row r="10" spans="1:15">
      <c r="A10" s="25" t="s">
        <v>38</v>
      </c>
      <c r="B10" s="26" t="s">
        <v>75</v>
      </c>
      <c r="C10" s="27">
        <v>20</v>
      </c>
      <c r="D10" s="27">
        <f>'Transition Risk Quantification'!F10+'Physical Risk Quantification'!F10</f>
        <v>28.841000000000001</v>
      </c>
      <c r="E10" s="32">
        <v>0.88</v>
      </c>
      <c r="F10" s="27">
        <f>D10*(1-E10)</f>
        <v>3.4609200000000002</v>
      </c>
      <c r="G10" s="27">
        <f>(D10-F10)-C10</f>
        <v>5.3800799999999995</v>
      </c>
      <c r="H10" s="27">
        <f>'Transition Risk Quantification'!J10+'Physical Risk Quantification'!J10</f>
        <v>97.902499999999989</v>
      </c>
      <c r="I10" s="32">
        <v>0.8</v>
      </c>
      <c r="J10" s="27">
        <f>H10*(1-I10)</f>
        <v>19.580499999999994</v>
      </c>
      <c r="K10" s="27">
        <f>(H10-J10)-C10</f>
        <v>58.322000000000003</v>
      </c>
      <c r="L10" s="27">
        <f>'Transition Risk Quantification'!N10+'Physical Risk Quantification'!N10</f>
        <v>98.4</v>
      </c>
      <c r="M10" s="32">
        <v>0.45</v>
      </c>
      <c r="N10" s="27">
        <f>L10*(1-M10)</f>
        <v>54.120000000000005</v>
      </c>
      <c r="O10" s="27">
        <f>(L10-N10)-C10</f>
        <v>24.28</v>
      </c>
    </row>
    <row r="11" spans="1:15">
      <c r="A11" s="20" t="s">
        <v>52</v>
      </c>
      <c r="B11" s="21"/>
      <c r="C11" s="22">
        <f>SUM(C6:C10)</f>
        <v>135</v>
      </c>
      <c r="D11" s="22">
        <f>SUM(D6:D10)</f>
        <v>237.98937500000002</v>
      </c>
      <c r="E11" s="34">
        <f>AVERAGE(E6:E10)</f>
        <v>0.876</v>
      </c>
      <c r="F11" s="22">
        <f>SUM(F6:F10)</f>
        <v>38.16501375</v>
      </c>
      <c r="G11" s="22">
        <f>SUM(G6:G10)</f>
        <v>64.82436125000001</v>
      </c>
      <c r="H11" s="22">
        <f>SUM(H6:H10)</f>
        <v>693.72343750000005</v>
      </c>
      <c r="I11" s="34">
        <f>AVERAGE(I6:I10)</f>
        <v>0.68</v>
      </c>
      <c r="J11" s="22">
        <f>SUM(J6:J10)</f>
        <v>189.59315624999999</v>
      </c>
      <c r="K11" s="22">
        <f>SUM(K6:K10)</f>
        <v>369.13028125</v>
      </c>
      <c r="L11" s="22">
        <f>SUM(L6:L10)</f>
        <v>516.6</v>
      </c>
      <c r="M11" s="34">
        <f>AVERAGE(M6:M10)</f>
        <v>0.36</v>
      </c>
      <c r="N11" s="22">
        <f>SUM(N6:N10)</f>
        <v>328.34000000000003</v>
      </c>
      <c r="O11" s="22">
        <f>SUM(O6:O10)</f>
        <v>53.259999999999991</v>
      </c>
    </row>
  </sheetData>
  <mergeCells count="6">
    <mergeCell ref="H4:K4"/>
    <mergeCell ref="B4:B5"/>
    <mergeCell ref="C4:C5"/>
    <mergeCell ref="A4:A5"/>
    <mergeCell ref="L4:O4"/>
    <mergeCell ref="D4:G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Dashboard Summary</vt:lpstr>
      <vt:lpstr>Portfolio Setup</vt:lpstr>
      <vt:lpstr>reference</vt:lpstr>
      <vt:lpstr>Grid</vt:lpstr>
      <vt:lpstr>Transition Risk Quantification</vt:lpstr>
      <vt:lpstr>Physical Risk Quantification</vt:lpstr>
      <vt:lpstr>Strategic Response &amp; Mitigation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Sana Quadri</cp:lastModifiedBy>
  <dcterms:created xsi:type="dcterms:W3CDTF">2026-06-23T11:26:17Z</dcterms:created>
  <dcterms:modified xsi:type="dcterms:W3CDTF">2026-06-26T19:34:35Z</dcterms:modified>
</cp:coreProperties>
</file>